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D61E901-ECE8-44B4-B5A5-DB25C68D6B6C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Ang. Absauganlage" sheetId="1" r:id="rId1"/>
    <sheet name="Geschw." sheetId="6" r:id="rId2"/>
    <sheet name="Luftmenge" sheetId="4" r:id="rId3"/>
    <sheet name="Berechnen" sheetId="7" r:id="rId4"/>
    <sheet name="Druckverlust" sheetId="10" r:id="rId5"/>
    <sheet name="Wärmeverlust" sheetId="8" r:id="rId6"/>
  </sheets>
  <definedNames>
    <definedName name="_xlnm.Print_Area" localSheetId="0">'Ang. Absauganlage'!$A$1:$V$36</definedName>
    <definedName name="_xlnm.Print_Area" localSheetId="2">Luftmenge!$B$2:$T$35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5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4"/>
  <c r="E7" i="4"/>
  <c r="I30" i="8" l="1"/>
  <c r="M19" i="8" s="1"/>
  <c r="E28" i="8" l="1"/>
  <c r="E27" i="8"/>
  <c r="E26" i="8"/>
  <c r="E25" i="8"/>
  <c r="M23" i="8"/>
  <c r="E24" i="8"/>
  <c r="E23" i="8"/>
  <c r="E22" i="8"/>
  <c r="E21" i="8"/>
  <c r="E20" i="8"/>
  <c r="I29" i="8"/>
  <c r="H9" i="7"/>
  <c r="H11" i="7" s="1"/>
  <c r="H12" i="7" s="1"/>
  <c r="D24" i="7"/>
  <c r="D25" i="7" s="1"/>
  <c r="D28" i="7"/>
  <c r="D29" i="7" s="1"/>
  <c r="D13" i="7"/>
  <c r="D18" i="7"/>
  <c r="D7" i="7"/>
  <c r="I31" i="8" l="1"/>
  <c r="I33" i="8" s="1"/>
  <c r="E29" i="8"/>
  <c r="N12" i="1"/>
  <c r="M29" i="8" l="1"/>
  <c r="M30" i="8" s="1"/>
  <c r="M31" i="8" s="1"/>
  <c r="M25" i="8"/>
  <c r="M26" i="8" s="1"/>
  <c r="M27" i="8" s="1"/>
  <c r="K12" i="1"/>
  <c r="N13" i="1"/>
  <c r="K13" i="1" s="1"/>
  <c r="N14" i="1"/>
  <c r="K14" i="1" s="1"/>
  <c r="N15" i="1"/>
  <c r="K15" i="1" s="1"/>
  <c r="N16" i="1"/>
  <c r="N17" i="1"/>
  <c r="K17" i="1" s="1"/>
  <c r="N18" i="1"/>
  <c r="N19" i="1"/>
  <c r="N20" i="1"/>
  <c r="N21" i="1"/>
  <c r="K21" i="1" s="1"/>
  <c r="N22" i="1"/>
  <c r="N23" i="1"/>
  <c r="N24" i="1"/>
  <c r="N25" i="1"/>
  <c r="N26" i="1"/>
  <c r="M33" i="8" l="1"/>
  <c r="M36" i="8" s="1"/>
  <c r="S26" i="1"/>
  <c r="K26" i="1"/>
  <c r="S25" i="1"/>
  <c r="K25" i="1"/>
  <c r="S24" i="1"/>
  <c r="K24" i="1"/>
  <c r="S23" i="1"/>
  <c r="K23" i="1"/>
  <c r="S22" i="1"/>
  <c r="K22" i="1"/>
  <c r="S21" i="1"/>
  <c r="S20" i="1"/>
  <c r="K20" i="1"/>
  <c r="S19" i="1"/>
  <c r="K19" i="1"/>
  <c r="S18" i="1"/>
  <c r="K18" i="1"/>
  <c r="S16" i="1"/>
  <c r="K16" i="1"/>
  <c r="S12" i="1"/>
  <c r="S15" i="1"/>
  <c r="S14" i="1"/>
  <c r="S13" i="1"/>
  <c r="S17" i="1"/>
  <c r="N27" i="1"/>
  <c r="M37" i="8" l="1"/>
  <c r="H3" i="8"/>
  <c r="S27" i="1"/>
  <c r="F34" i="1" l="1"/>
  <c r="L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Schalast Matthias</author>
  </authors>
  <commentList>
    <comment ref="E1" authorId="0" shapeId="0" xr:uid="{00000000-0006-0000-0100-000001000000}">
      <text>
        <r>
          <rPr>
            <sz val="9"/>
            <color indexed="81"/>
            <rFont val="Segoe UI"/>
            <family val="2"/>
          </rPr>
          <t>ca.-Werte, unbedingt
Herstellerangaben beachten!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Schalast Matthias</author>
  </authors>
  <commentList>
    <comment ref="B7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(lt. BGI 739-1)</t>
        </r>
        <r>
          <rPr>
            <sz val="9"/>
            <color indexed="81"/>
            <rFont val="Segoe UI"/>
            <family val="2"/>
          </rPr>
          <t xml:space="preserve">
Für die Berechnung des Mindestluftvolumenstromes 
V (in m³/h) gilt:          
V  = w · (DN/1000)² · π/4 · 3600
Darin ist:  w: Luftgeschwindigkeit in m/s
DN :  Absauganschlussnenndurchmesser in mm
V :  Mindestluftvolumenstrom in m³/h
</t>
        </r>
      </text>
    </comment>
    <comment ref="B13" authorId="0" shapeId="0" xr:uid="{00000000-0006-0000-0300-000002000000}">
      <text>
        <r>
          <rPr>
            <sz val="9"/>
            <color indexed="81"/>
            <rFont val="Segoe UI"/>
            <family val="2"/>
          </rPr>
          <t xml:space="preserve">bis 200 zulässig, Holz ca.150 weniger besser (um 120)
sehr feine Stäube (Gips/ Zement) ca 60- 80
</t>
        </r>
        <r>
          <rPr>
            <b/>
            <sz val="9"/>
            <color indexed="81"/>
            <rFont val="Segoe UI"/>
            <family val="2"/>
          </rPr>
          <t>TIPP:</t>
        </r>
        <r>
          <rPr>
            <sz val="9"/>
            <color indexed="81"/>
            <rFont val="Segoe UI"/>
            <family val="2"/>
          </rPr>
          <t xml:space="preserve"> bei problematischen Stäuben von "unten nach oben" rechnen</t>
        </r>
      </text>
    </comment>
  </commentList>
</comments>
</file>

<file path=xl/sharedStrings.xml><?xml version="1.0" encoding="utf-8"?>
<sst xmlns="http://schemas.openxmlformats.org/spreadsheetml/2006/main" count="549" uniqueCount="306">
  <si>
    <t>Nr.</t>
  </si>
  <si>
    <t>Maschine</t>
  </si>
  <si>
    <t>Volumen-strom</t>
  </si>
  <si>
    <t>Gleich-zeitig</t>
  </si>
  <si>
    <t>Luftbedarf</t>
  </si>
  <si>
    <t>d1</t>
  </si>
  <si>
    <t>d2</t>
  </si>
  <si>
    <t>d3</t>
  </si>
  <si>
    <t>d4</t>
  </si>
  <si>
    <t>d5</t>
  </si>
  <si>
    <t>d6</t>
  </si>
  <si>
    <t>m/s</t>
  </si>
  <si>
    <t>m³/h</t>
  </si>
  <si>
    <t>Pa</t>
  </si>
  <si>
    <t>Angaben zur Absauganlage</t>
  </si>
  <si>
    <t>Firma</t>
  </si>
  <si>
    <t>Ansprechpartner</t>
  </si>
  <si>
    <t>Telefon</t>
  </si>
  <si>
    <t>Gesamt</t>
  </si>
  <si>
    <t>Benötigte Absauggeschwindigkeit nach Tabellenwerten geschätzt.</t>
  </si>
  <si>
    <t>Druckverlust am Stutzen lt. Herstellerangaben eintragen.</t>
  </si>
  <si>
    <t>Bei Ermittlung des benötigten Unterdrucks der Absauganlage muss der Druckverlust im Rohrleitungsnetz / Absaugschlauch mit berücksichtigt werden!</t>
  </si>
  <si>
    <t>Unbedingt Herstellerangaben aus Betriebsanleitung beachten!</t>
  </si>
  <si>
    <t>Datum</t>
  </si>
  <si>
    <t>benötigter Volumenstrom</t>
  </si>
  <si>
    <t>benötigter Unterdruck</t>
  </si>
  <si>
    <t>Mobil</t>
  </si>
  <si>
    <t>Unterdruck</t>
  </si>
  <si>
    <t>Stationär</t>
  </si>
  <si>
    <t xml:space="preserve">ECO-JET 3  </t>
  </si>
  <si>
    <t>ECO-JET 4</t>
  </si>
  <si>
    <t>ECO-JET 5</t>
  </si>
  <si>
    <t>ECO-JET 3 XL</t>
  </si>
  <si>
    <t>ECO-JET 6</t>
  </si>
  <si>
    <t>ECO-JET 4 L</t>
  </si>
  <si>
    <t>ECO-JET 4 XL</t>
  </si>
  <si>
    <t>ECO-JET 5 L</t>
  </si>
  <si>
    <t>ECO-JET 5 XL</t>
  </si>
  <si>
    <t>ECO-JET 6 L</t>
  </si>
  <si>
    <t>ECO-JET 6 XL</t>
  </si>
  <si>
    <t>ECO-JET DUO 6</t>
  </si>
  <si>
    <t>ECO-JET DUO 6 L</t>
  </si>
  <si>
    <t xml:space="preserve">ECO-JET 3 L </t>
  </si>
  <si>
    <t>ECO-JET DUO 10</t>
  </si>
  <si>
    <t>Vol.strom</t>
  </si>
  <si>
    <t>ECO-JET DUO 8 L</t>
  </si>
  <si>
    <t>LUFTMENGENBERECHNUNGSTABELLE</t>
  </si>
  <si>
    <t>Rohrquerschnitte</t>
  </si>
  <si>
    <t>bei 19m/s</t>
  </si>
  <si>
    <t>bei 20m/s</t>
  </si>
  <si>
    <t>bei 21m/s</t>
  </si>
  <si>
    <t>bei 22m/s</t>
  </si>
  <si>
    <t>bei 23m/s</t>
  </si>
  <si>
    <t>bei 24m/s</t>
  </si>
  <si>
    <t>bei 25m/s</t>
  </si>
  <si>
    <t>bei 26m/s</t>
  </si>
  <si>
    <t>bei 27m/s</t>
  </si>
  <si>
    <t>bei 28m/s</t>
  </si>
  <si>
    <t>bei 30m/s</t>
  </si>
  <si>
    <t>bei 32m/s</t>
  </si>
  <si>
    <t>bei 35m/s</t>
  </si>
  <si>
    <t>bei 40m/s</t>
  </si>
  <si>
    <t>erforderl Geschw.</t>
  </si>
  <si>
    <t xml:space="preserve">empfohlene Anlage: </t>
  </si>
  <si>
    <t>(bei Aufstellung im Arbeitsraum)</t>
  </si>
  <si>
    <t>APU 100</t>
  </si>
  <si>
    <t>APU 120</t>
  </si>
  <si>
    <t>APU 140</t>
  </si>
  <si>
    <t>APU 160</t>
  </si>
  <si>
    <t>APU 200</t>
  </si>
  <si>
    <t>APU 250</t>
  </si>
  <si>
    <t>APU 300</t>
  </si>
  <si>
    <t>E-Mail</t>
  </si>
  <si>
    <t>Werte wurden lt. Kundenangaben ermittelt, Herstellerangaben lagen keine vor.</t>
  </si>
  <si>
    <t>kW</t>
  </si>
  <si>
    <t>2 x 18,5</t>
  </si>
  <si>
    <t>2 x 11,0</t>
  </si>
  <si>
    <t xml:space="preserve">2 x 15,0 </t>
  </si>
  <si>
    <t xml:space="preserve">2 x 11,0 </t>
  </si>
  <si>
    <t>Motorleistung</t>
  </si>
  <si>
    <t>Vol.Strom</t>
  </si>
  <si>
    <t xml:space="preserve">Unterdruck </t>
  </si>
  <si>
    <t>Filterfläche</t>
  </si>
  <si>
    <t>m²</t>
  </si>
  <si>
    <t>ECO-JET DUO 10 XL</t>
  </si>
  <si>
    <t>ECO-JET DUO 6 XL</t>
  </si>
  <si>
    <t>ECO-JET DUO 8 XL</t>
  </si>
  <si>
    <t>ECO-JET DUO 8</t>
  </si>
  <si>
    <t>ECO-JET DUO 10 L</t>
  </si>
  <si>
    <t>weitere Varianten (Leistung, Filterfläche)  möglich !</t>
  </si>
  <si>
    <t>siehe Kennlinien !      Angaben sind nur ca. Werte !!</t>
  </si>
  <si>
    <t>Ø Ansaugstutzen  in mm</t>
  </si>
  <si>
    <t>benötigt RohrØ</t>
  </si>
  <si>
    <t>Maschinentyp</t>
  </si>
  <si>
    <r>
      <t xml:space="preserve">Absaugstutzen </t>
    </r>
    <r>
      <rPr>
        <b/>
        <u/>
        <sz val="10"/>
        <rFont val="Arial Narrow"/>
        <family val="2"/>
      </rPr>
      <t>Ø</t>
    </r>
  </si>
  <si>
    <t>Mindest-volumenstrom  bei 20 m/s</t>
  </si>
  <si>
    <t>empfohlene Luftgeschw.  m/s</t>
  </si>
  <si>
    <t>empfohlener Volumenstrom m³/h</t>
  </si>
  <si>
    <t>Druckverlust Pa</t>
  </si>
  <si>
    <t>Abrichthobelmaschine ≤ 41 cm</t>
  </si>
  <si>
    <t>820 m³/h</t>
  </si>
  <si>
    <t>Abrichthobelmaschine ≤ 52 cm</t>
  </si>
  <si>
    <t>1.110 m³/h</t>
  </si>
  <si>
    <t>Abrichthobelmaschine &gt; 52 cm</t>
  </si>
  <si>
    <t>1.450 m³/h</t>
  </si>
  <si>
    <t>Bearbeitungszentrum CNC</t>
  </si>
  <si>
    <t>&gt;&gt; 20 m/s</t>
  </si>
  <si>
    <t>28-30</t>
  </si>
  <si>
    <t>2000-3000</t>
  </si>
  <si>
    <t>2000- 3000</t>
  </si>
  <si>
    <t>Breitbandschleifmaschine pro Aggregat,  je nach Bearbeitungsbreite min.               Gesamt= Summe der Einzelquerschnitte</t>
  </si>
  <si>
    <t xml:space="preserve"> 630 mm= 120      910 mm= 140   1.100 mm= 160   1.350 mm= 180    1.600 mm= 200</t>
  </si>
  <si>
    <t xml:space="preserve"> 820 m³/h 1.110 m³/h  1.450m³/h   1.830 m³/h   2.260 m³/h</t>
  </si>
  <si>
    <t>1000 pro Aggregat</t>
  </si>
  <si>
    <t>Dickenhobelmaschine ≤ 41 cm</t>
  </si>
  <si>
    <t>Dickenhobelmaschine ≤ 52 cm</t>
  </si>
  <si>
    <t>Dickenhobelmaschine &gt; 52 cm</t>
  </si>
  <si>
    <t xml:space="preserve">Formatkreissäge </t>
  </si>
  <si>
    <t>80+ 120= 140</t>
  </si>
  <si>
    <t>Horizontalplattensäge</t>
  </si>
  <si>
    <t>2.260 m³/h</t>
  </si>
  <si>
    <t>Kantenanleimmaschine pro Aggregat; Gesamtanschluss = Summe der Einzelanschlüse</t>
  </si>
  <si>
    <t>1700 pro Aggregat</t>
  </si>
  <si>
    <t>Kantenschleifmaschine, jeweils an Rolle absaugen</t>
  </si>
  <si>
    <t>2 x 100 =140</t>
  </si>
  <si>
    <t>Langbandschleifmaschine mit Schiebetisch, jeweils an Rolle absaugen</t>
  </si>
  <si>
    <t>160+ 120= 200</t>
  </si>
  <si>
    <t>2.260 m³7h</t>
  </si>
  <si>
    <t>Langlochbohrmaschine</t>
  </si>
  <si>
    <t>Pendelsäge</t>
  </si>
  <si>
    <t>Restholzzerkleinerer Langsamläufer</t>
  </si>
  <si>
    <t>Tischbandsäge</t>
  </si>
  <si>
    <t>2 x 120 = 180</t>
  </si>
  <si>
    <t>1.830 m³/h</t>
  </si>
  <si>
    <t>Tischfräsmaschine, Absaugung unter + über Tisch</t>
  </si>
  <si>
    <t>120+ 100= 160</t>
  </si>
  <si>
    <t>Umfälz- bzw. Profiliermaschine für Fenster</t>
  </si>
  <si>
    <t>Vertikalplattensäge, am Aggregat+ Rückwand</t>
  </si>
  <si>
    <t>2 x 120= 160</t>
  </si>
  <si>
    <t>Vierseitenhobel pro Aggregat</t>
  </si>
  <si>
    <t>28-32</t>
  </si>
  <si>
    <t>Zapfenschneid- und Schlitzmaschinen</t>
  </si>
  <si>
    <t>*Bei den Anhaltswerten unbedingt Herstellerangaben beachten!</t>
  </si>
  <si>
    <t>Ansonsten Hinweise in BGI 739-1 Anhang 1 beachten</t>
  </si>
  <si>
    <t>Volumenstrom-Berechnung</t>
  </si>
  <si>
    <t>d²x0,785x36xm/s</t>
  </si>
  <si>
    <r>
      <t>Absaug-</t>
    </r>
    <r>
      <rPr>
        <sz val="10"/>
        <rFont val="Arial Narrow"/>
        <family val="2"/>
      </rPr>
      <t>Ø</t>
    </r>
    <r>
      <rPr>
        <sz val="12"/>
        <color theme="1"/>
        <rFont val="Arial Narrow"/>
        <family val="2"/>
      </rPr>
      <t xml:space="preserve"> in dm (160mm=1,6dm)</t>
    </r>
  </si>
  <si>
    <t>Luftgeschwigk in m/s:</t>
  </si>
  <si>
    <t>Volumenstrom in m³/h:</t>
  </si>
  <si>
    <t>benötigte Filterfläche</t>
  </si>
  <si>
    <t>m³/h / 150 = FL</t>
  </si>
  <si>
    <t>Volumenstrom in m³/h</t>
  </si>
  <si>
    <t>Filterflächenbelastung</t>
  </si>
  <si>
    <t>m³/h / FL= FFB</t>
  </si>
  <si>
    <t>Volumenstrom   in m³/h</t>
  </si>
  <si>
    <t>Filterfläche in m²</t>
  </si>
  <si>
    <t>Filterflächenbel. in m³/m²/h</t>
  </si>
  <si>
    <t>Radius B:</t>
  </si>
  <si>
    <t>Radius A:</t>
  </si>
  <si>
    <t>Querschnittsberechnung:</t>
  </si>
  <si>
    <t>Ventilator</t>
  </si>
  <si>
    <t>Laufzeit</t>
  </si>
  <si>
    <t>h/Tag</t>
  </si>
  <si>
    <t>Preis pro KWh</t>
  </si>
  <si>
    <t>€</t>
  </si>
  <si>
    <t>Kosten pro Jahr</t>
  </si>
  <si>
    <t>Einsparung durch FU</t>
  </si>
  <si>
    <t>%</t>
  </si>
  <si>
    <t>Kosten für FU</t>
  </si>
  <si>
    <t>Return of investment (ROI)</t>
  </si>
  <si>
    <t>Querschnitt A cm²</t>
  </si>
  <si>
    <t>Ø- B  in cm</t>
  </si>
  <si>
    <t>Ø- A  in cm</t>
  </si>
  <si>
    <t>Querschnitt B cm²</t>
  </si>
  <si>
    <t>Amortisation Frequenzumformer</t>
  </si>
  <si>
    <t>Jahre</t>
  </si>
  <si>
    <t>Ersparnis</t>
  </si>
  <si>
    <t>basiert auf  200 AT/ Jahr</t>
  </si>
  <si>
    <t>Begriffsdefinition</t>
  </si>
  <si>
    <t>Zeichen</t>
  </si>
  <si>
    <t>Einheit</t>
  </si>
  <si>
    <t>Ort</t>
  </si>
  <si>
    <t>Heizperiode</t>
  </si>
  <si>
    <t>Wärmemenge</t>
  </si>
  <si>
    <t>Q</t>
  </si>
  <si>
    <t>September</t>
  </si>
  <si>
    <t>U</t>
  </si>
  <si>
    <t>W/(Kxm²)</t>
  </si>
  <si>
    <t>Oktober</t>
  </si>
  <si>
    <t>Oberfläche</t>
  </si>
  <si>
    <t>A</t>
  </si>
  <si>
    <t>November</t>
  </si>
  <si>
    <t>Temperaturdifferenz</t>
  </si>
  <si>
    <t>T</t>
  </si>
  <si>
    <t>K</t>
  </si>
  <si>
    <t>Dezember</t>
  </si>
  <si>
    <t>Januar</t>
  </si>
  <si>
    <t>Februar</t>
  </si>
  <si>
    <t>März</t>
  </si>
  <si>
    <t>April</t>
  </si>
  <si>
    <t>Summe</t>
  </si>
  <si>
    <t>Heizwert Heizöl 1L</t>
  </si>
  <si>
    <t>Anzahl Monate</t>
  </si>
  <si>
    <t>Euro</t>
  </si>
  <si>
    <t>Durchschnitt Heizperiode</t>
  </si>
  <si>
    <t>Innentemperatur :</t>
  </si>
  <si>
    <t>Temperaturdifferenz :</t>
  </si>
  <si>
    <t>Kelvin</t>
  </si>
  <si>
    <t>Länge</t>
  </si>
  <si>
    <t>Breite</t>
  </si>
  <si>
    <t>Wand 1</t>
  </si>
  <si>
    <t>Monate</t>
  </si>
  <si>
    <t>Wand 2</t>
  </si>
  <si>
    <t>Anzahl Arbeitstage/Monat</t>
  </si>
  <si>
    <t>Tage</t>
  </si>
  <si>
    <t>Wand 3</t>
  </si>
  <si>
    <t>Schichten pro Arbeitstag</t>
  </si>
  <si>
    <t>Schicht</t>
  </si>
  <si>
    <t>Wand 4</t>
  </si>
  <si>
    <t>Stunden pro Schicht</t>
  </si>
  <si>
    <t>h</t>
  </si>
  <si>
    <t>Wand 5</t>
  </si>
  <si>
    <t>Gesamtstunden</t>
  </si>
  <si>
    <t>Wand 6</t>
  </si>
  <si>
    <t>Dach 1</t>
  </si>
  <si>
    <t>Dach 2</t>
  </si>
  <si>
    <t>Dach 3</t>
  </si>
  <si>
    <t>Gesamtfläche</t>
  </si>
  <si>
    <t>Gesamtverlust</t>
  </si>
  <si>
    <t>Liter</t>
  </si>
  <si>
    <t>kWh</t>
  </si>
  <si>
    <t>Durchschnittstemp.</t>
  </si>
  <si>
    <t>°C</t>
  </si>
  <si>
    <r>
      <t xml:space="preserve">U Stahlblech 2 mm  </t>
    </r>
    <r>
      <rPr>
        <b/>
        <sz val="12"/>
        <color rgb="FF0070C0"/>
        <rFont val="Arial Narrow"/>
        <family val="2"/>
      </rPr>
      <t xml:space="preserve"> XY</t>
    </r>
  </si>
  <si>
    <r>
      <t xml:space="preserve">U Paneele / AT4       </t>
    </r>
    <r>
      <rPr>
        <b/>
        <sz val="12"/>
        <color rgb="FFFF0000"/>
        <rFont val="Arial Narrow"/>
        <family val="2"/>
      </rPr>
      <t>AL-KO</t>
    </r>
  </si>
  <si>
    <t>Oberflächenberechnung  PROFI JET</t>
  </si>
  <si>
    <r>
      <t xml:space="preserve">Q           </t>
    </r>
    <r>
      <rPr>
        <b/>
        <sz val="12"/>
        <color rgb="FFFF0000"/>
        <rFont val="Arial Narrow"/>
        <family val="2"/>
      </rPr>
      <t>AL-KO Paneele</t>
    </r>
  </si>
  <si>
    <r>
      <t xml:space="preserve">Q    </t>
    </r>
    <r>
      <rPr>
        <b/>
        <sz val="12"/>
        <color rgb="FF0070C0"/>
        <rFont val="Arial Narrow"/>
        <family val="2"/>
      </rPr>
      <t>XY Stahlblechanlage</t>
    </r>
  </si>
  <si>
    <t>Koks</t>
  </si>
  <si>
    <t>Heizöl</t>
  </si>
  <si>
    <t>Holz</t>
  </si>
  <si>
    <t>Pellets</t>
  </si>
  <si>
    <t xml:space="preserve">Strom  </t>
  </si>
  <si>
    <t>Erdgas</t>
  </si>
  <si>
    <t xml:space="preserve">kWh </t>
  </si>
  <si>
    <t>kWh/ kg</t>
  </si>
  <si>
    <t>kWh/ l</t>
  </si>
  <si>
    <t>kWh/m³</t>
  </si>
  <si>
    <t>11,4 kWh/ kg</t>
  </si>
  <si>
    <t>Heizwerte</t>
  </si>
  <si>
    <t>in L Heizöl</t>
  </si>
  <si>
    <t>In Euro / Heizperiode</t>
  </si>
  <si>
    <t>kJ</t>
  </si>
  <si>
    <t>kW/h</t>
  </si>
  <si>
    <t>Projekt:</t>
  </si>
  <si>
    <r>
      <t xml:space="preserve">Differenz  </t>
    </r>
    <r>
      <rPr>
        <b/>
        <sz val="12"/>
        <color rgb="FFFF0000"/>
        <rFont val="Arial Narrow"/>
        <family val="2"/>
      </rPr>
      <t>AL-KO</t>
    </r>
    <r>
      <rPr>
        <b/>
        <sz val="12"/>
        <color theme="1"/>
        <rFont val="Arial Narrow"/>
        <family val="2"/>
      </rPr>
      <t xml:space="preserve">  -  </t>
    </r>
    <r>
      <rPr>
        <b/>
        <sz val="12"/>
        <color rgb="FF0070C0"/>
        <rFont val="Arial Narrow"/>
        <family val="2"/>
      </rPr>
      <t>XY</t>
    </r>
  </si>
  <si>
    <t>Ersparnis / Heizperiode</t>
  </si>
  <si>
    <t>Ersparnis pro Heizperiode</t>
  </si>
  <si>
    <t>Wärmedurchgangskoeffizient</t>
  </si>
  <si>
    <t>Wärmeverlust Rechnung           AL-KO -Profi-JET  - Wettbewerb</t>
  </si>
  <si>
    <t>Kurzanleitung:</t>
  </si>
  <si>
    <t>Heizmittel eingeben, örtl. Preis eingeben</t>
  </si>
  <si>
    <t>In Gelb markierte Felder Werte eintragen</t>
  </si>
  <si>
    <t>Preis pro Liter      Heizöl</t>
  </si>
  <si>
    <t>Druckverlust Rohrleitung</t>
  </si>
  <si>
    <t>Abzweige, Bögen und Verteiler haben einen Verlust von min. 50 Pa</t>
  </si>
  <si>
    <t>Stutzenquerschnitte:</t>
  </si>
  <si>
    <t>Der Gesamtquerschnitt der abzusaugenden Stutzen sollte die Querschnittsfläche des Ansaugstutzen möglichst nicht überschreiten.</t>
  </si>
  <si>
    <t>Ein größerer Gesamtquerschnitt ist nur möglich, wenn die benötigten Luftgeschwindigkeiten dauerhaft eingehalten werden.</t>
  </si>
  <si>
    <t>Querschnitts-fläche in cm²</t>
  </si>
  <si>
    <t>Druckverlust in Pa/m</t>
  </si>
  <si>
    <t>DN in mm</t>
  </si>
  <si>
    <t>23 m/s  in m³/h</t>
  </si>
  <si>
    <t>20 m/s  in m³/h</t>
  </si>
  <si>
    <t>28 m/s  in m³/h</t>
  </si>
  <si>
    <t>TIPP: bei problematischen Stäuben von "unten nach oben" rechnen</t>
  </si>
  <si>
    <t>INFO Filterfläche:</t>
  </si>
  <si>
    <t>bei 10m/s</t>
  </si>
  <si>
    <t>bei 15m/s</t>
  </si>
  <si>
    <t>Druckverlust (ca. Werte) für 1 Meter glattes Ansaugrohr                                                  (in Pa/m bei einer Luftgeschwindigkeit VL von 20, 23 und 28 m/s)</t>
  </si>
  <si>
    <t>APU 350</t>
  </si>
  <si>
    <r>
      <t>APU 350</t>
    </r>
    <r>
      <rPr>
        <sz val="11"/>
        <color theme="1"/>
        <rFont val="Calibri"/>
        <family val="2"/>
      </rPr>
      <t>⁺</t>
    </r>
  </si>
  <si>
    <t>Filterfläche FL in m²</t>
  </si>
  <si>
    <t>Umrechnung in kW/h</t>
  </si>
  <si>
    <t>Q=U x A x Tdelta</t>
  </si>
  <si>
    <t>W/ (K x m²)</t>
  </si>
  <si>
    <t>KURZANLEITUNG:</t>
  </si>
  <si>
    <t>Gelbe Felder ausfüllen!</t>
  </si>
  <si>
    <t>Gelbe Felder ausfüllen</t>
  </si>
  <si>
    <t xml:space="preserve">Filterflächenbelastung bis max. 200 m³/m²/h zulässig,  </t>
  </si>
  <si>
    <t>(z.B.  MDF  100- 120,  Gips, Glasfaser usw  ca. 60- 80 )</t>
  </si>
  <si>
    <t xml:space="preserve">Holz um ca. 150 -170 -  je feiner der Staub um so geringer sollte Belastung sein  </t>
  </si>
  <si>
    <t>Grundsätzlich ist bei der Wahl der Absaugleitung zu beachten, dass ein Meter Absaugschlauch einen etwa 5-6mal höheren Druckverlust hat.</t>
  </si>
  <si>
    <r>
      <rPr>
        <b/>
        <sz val="9"/>
        <rFont val="Arial Narrow"/>
        <family val="2"/>
      </rPr>
      <t>Ø</t>
    </r>
    <r>
      <rPr>
        <b/>
        <sz val="9"/>
        <rFont val="Arial"/>
        <family val="2"/>
      </rPr>
      <t xml:space="preserve"> in mm</t>
    </r>
  </si>
  <si>
    <t>bei  5m/s</t>
  </si>
  <si>
    <t xml:space="preserve">DN  = mm      </t>
  </si>
  <si>
    <t xml:space="preserve">  A = cm²</t>
  </si>
  <si>
    <t>ECO-JET 2</t>
  </si>
  <si>
    <t>ECO-JET 2 L</t>
  </si>
  <si>
    <t>ECO-JET 2 XL</t>
  </si>
  <si>
    <t>usw beachten</t>
  </si>
  <si>
    <t>Je nach Material die benötigte Filterfläche, Filterflächenbelastung</t>
  </si>
  <si>
    <t>Regensburg</t>
  </si>
  <si>
    <t>Druckverlust am Stutzen</t>
  </si>
  <si>
    <t>Leitung</t>
  </si>
  <si>
    <t>Bestand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</si>
</sst>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;@"/>
    <numFmt numFmtId="165" formatCode="0.0"/>
  </numFmts>
  <fonts count="47" x14ac:knownFonts="1"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Times New Roman"/>
      <family val="1"/>
    </font>
    <font>
      <sz val="12"/>
      <color theme="1"/>
      <name val="Arial Narrow"/>
      <family val="2"/>
    </font>
    <font>
      <sz val="10"/>
      <name val="Arial Narrow"/>
      <family val="2"/>
    </font>
    <font>
      <b/>
      <u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rgb="FFFF0000"/>
      <name val="Arial Narrow"/>
      <family val="2"/>
    </font>
    <font>
      <sz val="11"/>
      <name val="Arial Narrow"/>
      <family val="2"/>
    </font>
    <font>
      <sz val="11"/>
      <color rgb="FF00B0F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6"/>
      <color theme="1"/>
      <name val="Arial Narrow"/>
      <family val="2"/>
    </font>
    <font>
      <i/>
      <sz val="11"/>
      <name val="Arial Narrow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 Narrow"/>
      <family val="2"/>
    </font>
    <font>
      <b/>
      <sz val="10"/>
      <color rgb="FFFF0000"/>
      <name val="Arial Narrow"/>
      <family val="2"/>
    </font>
    <font>
      <sz val="9"/>
      <color indexed="81"/>
      <name val="Segoe UI"/>
      <family val="2"/>
    </font>
    <font>
      <b/>
      <u/>
      <sz val="12"/>
      <color theme="4" tint="-0.249977111117893"/>
      <name val="Arial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12"/>
      <name val="Arial Narrow"/>
      <family val="2"/>
    </font>
    <font>
      <sz val="10"/>
      <color indexed="10"/>
      <name val="Arial"/>
      <family val="2"/>
    </font>
    <font>
      <b/>
      <sz val="12"/>
      <color rgb="FFFF0000"/>
      <name val="Arial Narrow"/>
      <family val="2"/>
    </font>
    <font>
      <b/>
      <sz val="12"/>
      <color rgb="FF0070C0"/>
      <name val="Arial Narrow"/>
      <family val="2"/>
    </font>
    <font>
      <b/>
      <u/>
      <sz val="14"/>
      <color rgb="FF0070C0"/>
      <name val="Arial"/>
      <family val="2"/>
    </font>
    <font>
      <b/>
      <sz val="16"/>
      <color rgb="FFFF0000"/>
      <name val="Arial Narrow"/>
      <family val="2"/>
    </font>
    <font>
      <sz val="16"/>
      <color theme="1"/>
      <name val="Arial Narrow"/>
      <family val="2"/>
    </font>
    <font>
      <u/>
      <sz val="12"/>
      <color theme="1"/>
      <name val="Arial Narrow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theme="1"/>
      <name val="Arial Narrow"/>
      <family val="2"/>
    </font>
    <font>
      <sz val="11"/>
      <color theme="1"/>
      <name val="Calibri"/>
      <family val="2"/>
    </font>
    <font>
      <sz val="12"/>
      <color rgb="FF2C2C2C"/>
      <name val="Arial Narrow"/>
      <family val="2"/>
    </font>
    <font>
      <b/>
      <sz val="9"/>
      <name val="Arial Narrow"/>
      <family val="2"/>
    </font>
    <font>
      <u/>
      <sz val="12"/>
      <color theme="10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i/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35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45" xfId="0" applyBorder="1"/>
    <xf numFmtId="0" fontId="7" fillId="2" borderId="49" xfId="0" applyFont="1" applyFill="1" applyBorder="1"/>
    <xf numFmtId="0" fontId="8" fillId="2" borderId="50" xfId="0" applyFont="1" applyFill="1" applyBorder="1" applyAlignment="1">
      <alignment horizontal="left"/>
    </xf>
    <xf numFmtId="0" fontId="8" fillId="2" borderId="50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9" fillId="0" borderId="0" xfId="0" applyFont="1"/>
    <xf numFmtId="0" fontId="9" fillId="0" borderId="47" xfId="0" applyFont="1" applyBorder="1"/>
    <xf numFmtId="0" fontId="9" fillId="0" borderId="15" xfId="0" applyFont="1" applyBorder="1"/>
    <xf numFmtId="0" fontId="9" fillId="0" borderId="48" xfId="0" applyFont="1" applyBorder="1"/>
    <xf numFmtId="0" fontId="9" fillId="0" borderId="44" xfId="0" applyFont="1" applyBorder="1"/>
    <xf numFmtId="3" fontId="9" fillId="0" borderId="20" xfId="0" applyNumberFormat="1" applyFont="1" applyBorder="1"/>
    <xf numFmtId="0" fontId="9" fillId="0" borderId="20" xfId="0" applyFont="1" applyBorder="1"/>
    <xf numFmtId="0" fontId="9" fillId="0" borderId="45" xfId="0" applyFont="1" applyBorder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9" fillId="0" borderId="46" xfId="0" applyFont="1" applyBorder="1"/>
    <xf numFmtId="3" fontId="9" fillId="0" borderId="10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7" fillId="2" borderId="52" xfId="0" applyFont="1" applyFill="1" applyBorder="1" applyAlignment="1">
      <alignment horizontal="left"/>
    </xf>
    <xf numFmtId="0" fontId="8" fillId="2" borderId="40" xfId="0" applyFont="1" applyFill="1" applyBorder="1"/>
    <xf numFmtId="0" fontId="8" fillId="2" borderId="40" xfId="0" applyFont="1" applyFill="1" applyBorder="1" applyAlignment="1">
      <alignment horizontal="center" vertical="center"/>
    </xf>
    <xf numFmtId="165" fontId="9" fillId="0" borderId="20" xfId="0" applyNumberFormat="1" applyFont="1" applyBorder="1" applyAlignment="1">
      <alignment horizontal="right"/>
    </xf>
    <xf numFmtId="0" fontId="9" fillId="0" borderId="20" xfId="0" applyFont="1" applyBorder="1" applyAlignment="1">
      <alignment horizontal="left"/>
    </xf>
    <xf numFmtId="3" fontId="12" fillId="0" borderId="20" xfId="0" applyNumberFormat="1" applyFont="1" applyBorder="1"/>
    <xf numFmtId="0" fontId="12" fillId="0" borderId="20" xfId="0" applyFont="1" applyBorder="1" applyAlignment="1">
      <alignment horizontal="left"/>
    </xf>
    <xf numFmtId="165" fontId="12" fillId="0" borderId="20" xfId="0" applyNumberFormat="1" applyFont="1" applyBorder="1"/>
    <xf numFmtId="0" fontId="12" fillId="0" borderId="20" xfId="0" applyFont="1" applyBorder="1"/>
    <xf numFmtId="0" fontId="9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5" fontId="12" fillId="0" borderId="10" xfId="0" applyNumberFormat="1" applyFont="1" applyBorder="1"/>
    <xf numFmtId="0" fontId="14" fillId="0" borderId="0" xfId="0" applyFont="1"/>
    <xf numFmtId="0" fontId="9" fillId="0" borderId="0" xfId="0" applyFont="1" applyAlignment="1">
      <alignment horizontal="right"/>
    </xf>
    <xf numFmtId="0" fontId="16" fillId="0" borderId="13" xfId="0" applyFont="1" applyBorder="1"/>
    <xf numFmtId="0" fontId="16" fillId="0" borderId="17" xfId="0" applyFont="1" applyBorder="1"/>
    <xf numFmtId="0" fontId="9" fillId="0" borderId="24" xfId="0" applyFont="1" applyBorder="1"/>
    <xf numFmtId="0" fontId="19" fillId="0" borderId="0" xfId="0" applyFont="1"/>
    <xf numFmtId="0" fontId="12" fillId="0" borderId="0" xfId="0" applyFont="1"/>
    <xf numFmtId="165" fontId="9" fillId="0" borderId="10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8" fillId="0" borderId="20" xfId="0" applyFont="1" applyBorder="1" applyAlignment="1">
      <alignment vertical="top" wrapText="1"/>
    </xf>
    <xf numFmtId="0" fontId="18" fillId="0" borderId="2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21" fillId="0" borderId="0" xfId="0" applyFont="1"/>
    <xf numFmtId="0" fontId="26" fillId="0" borderId="0" xfId="0" applyFont="1"/>
    <xf numFmtId="0" fontId="0" fillId="0" borderId="0" xfId="0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2" xfId="0" applyBorder="1"/>
    <xf numFmtId="0" fontId="3" fillId="0" borderId="0" xfId="0" applyFont="1"/>
    <xf numFmtId="0" fontId="3" fillId="4" borderId="2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28" xfId="0" applyBorder="1"/>
    <xf numFmtId="0" fontId="0" fillId="0" borderId="29" xfId="0" applyBorder="1"/>
    <xf numFmtId="0" fontId="3" fillId="2" borderId="52" xfId="0" applyFont="1" applyFill="1" applyBorder="1"/>
    <xf numFmtId="0" fontId="3" fillId="2" borderId="44" xfId="0" applyFont="1" applyFill="1" applyBorder="1"/>
    <xf numFmtId="2" fontId="0" fillId="0" borderId="0" xfId="0" applyNumberFormat="1"/>
    <xf numFmtId="0" fontId="0" fillId="0" borderId="52" xfId="0" applyBorder="1"/>
    <xf numFmtId="3" fontId="0" fillId="0" borderId="0" xfId="0" applyNumberFormat="1"/>
    <xf numFmtId="0" fontId="0" fillId="0" borderId="40" xfId="0" applyBorder="1" applyAlignment="1">
      <alignment horizontal="right"/>
    </xf>
    <xf numFmtId="0" fontId="0" fillId="0" borderId="53" xfId="0" applyBorder="1" applyAlignment="1">
      <alignment horizontal="right"/>
    </xf>
    <xf numFmtId="2" fontId="0" fillId="0" borderId="37" xfId="0" applyNumberFormat="1" applyBorder="1"/>
    <xf numFmtId="8" fontId="0" fillId="0" borderId="0" xfId="0" applyNumberFormat="1"/>
    <xf numFmtId="0" fontId="2" fillId="0" borderId="0" xfId="0" applyFont="1"/>
    <xf numFmtId="0" fontId="1" fillId="0" borderId="21" xfId="0" applyFont="1" applyBorder="1"/>
    <xf numFmtId="0" fontId="0" fillId="0" borderId="22" xfId="0" applyBorder="1"/>
    <xf numFmtId="0" fontId="1" fillId="0" borderId="17" xfId="0" applyFont="1" applyBorder="1"/>
    <xf numFmtId="0" fontId="0" fillId="0" borderId="48" xfId="0" applyBorder="1"/>
    <xf numFmtId="0" fontId="1" fillId="0" borderId="35" xfId="0" applyFont="1" applyBorder="1"/>
    <xf numFmtId="0" fontId="37" fillId="0" borderId="0" xfId="0" applyFont="1"/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29" xfId="0" applyNumberFormat="1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1" fontId="4" fillId="0" borderId="64" xfId="0" applyNumberFormat="1" applyFont="1" applyBorder="1" applyAlignment="1">
      <alignment horizontal="center" vertical="center" wrapText="1"/>
    </xf>
    <xf numFmtId="1" fontId="4" fillId="0" borderId="65" xfId="0" applyNumberFormat="1" applyFont="1" applyBorder="1" applyAlignment="1">
      <alignment horizontal="center" vertical="center" wrapText="1"/>
    </xf>
    <xf numFmtId="1" fontId="4" fillId="0" borderId="66" xfId="0" applyNumberFormat="1" applyFont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1" fontId="4" fillId="3" borderId="65" xfId="0" applyNumberFormat="1" applyFont="1" applyFill="1" applyBorder="1" applyAlignment="1">
      <alignment horizontal="center" vertical="center" wrapText="1"/>
    </xf>
    <xf numFmtId="1" fontId="4" fillId="3" borderId="37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8" fillId="2" borderId="40" xfId="0" applyFont="1" applyFill="1" applyBorder="1" applyAlignment="1">
      <alignment horizontal="center"/>
    </xf>
    <xf numFmtId="0" fontId="41" fillId="0" borderId="0" xfId="0" applyFont="1" applyAlignment="1">
      <alignment vertical="center" readingOrder="1"/>
    </xf>
    <xf numFmtId="0" fontId="2" fillId="5" borderId="49" xfId="0" applyFont="1" applyFill="1" applyBorder="1" applyAlignment="1">
      <alignment horizontal="center" vertical="top" wrapText="1"/>
    </xf>
    <xf numFmtId="0" fontId="2" fillId="5" borderId="61" xfId="0" applyFont="1" applyFill="1" applyBorder="1" applyAlignment="1">
      <alignment horizontal="center" vertical="top" wrapText="1"/>
    </xf>
    <xf numFmtId="0" fontId="2" fillId="5" borderId="58" xfId="0" applyFont="1" applyFill="1" applyBorder="1" applyAlignment="1">
      <alignment horizontal="center" vertical="top" wrapText="1"/>
    </xf>
    <xf numFmtId="0" fontId="2" fillId="5" borderId="59" xfId="0" applyFont="1" applyFill="1" applyBorder="1" applyAlignment="1">
      <alignment horizontal="center" vertical="top" wrapText="1"/>
    </xf>
    <xf numFmtId="0" fontId="2" fillId="5" borderId="60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38" fillId="5" borderId="20" xfId="0" applyFont="1" applyFill="1" applyBorder="1" applyAlignment="1">
      <alignment horizontal="center" vertical="top" wrapText="1"/>
    </xf>
    <xf numFmtId="0" fontId="38" fillId="5" borderId="2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1" fontId="9" fillId="6" borderId="39" xfId="0" applyNumberFormat="1" applyFont="1" applyFill="1" applyBorder="1" applyAlignment="1">
      <alignment horizontal="center" wrapText="1"/>
    </xf>
    <xf numFmtId="1" fontId="9" fillId="6" borderId="40" xfId="0" applyNumberFormat="1" applyFont="1" applyFill="1" applyBorder="1" applyAlignment="1">
      <alignment horizontal="center" wrapText="1"/>
    </xf>
    <xf numFmtId="1" fontId="9" fillId="6" borderId="14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1" fontId="9" fillId="6" borderId="16" xfId="0" applyNumberFormat="1" applyFont="1" applyFill="1" applyBorder="1" applyAlignment="1">
      <alignment horizontal="center" wrapText="1"/>
    </xf>
    <xf numFmtId="0" fontId="9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1" fontId="9" fillId="7" borderId="18" xfId="0" applyNumberFormat="1" applyFont="1" applyFill="1" applyBorder="1" applyAlignment="1">
      <alignment horizontal="center" wrapText="1"/>
    </xf>
    <xf numFmtId="1" fontId="9" fillId="7" borderId="16" xfId="0" applyNumberFormat="1" applyFont="1" applyFill="1" applyBorder="1" applyAlignment="1">
      <alignment horizontal="center" wrapText="1"/>
    </xf>
    <xf numFmtId="0" fontId="9" fillId="7" borderId="18" xfId="0" applyFont="1" applyFill="1" applyBorder="1"/>
    <xf numFmtId="3" fontId="9" fillId="7" borderId="17" xfId="0" applyNumberFormat="1" applyFont="1" applyFill="1" applyBorder="1"/>
    <xf numFmtId="0" fontId="9" fillId="7" borderId="19" xfId="0" applyFont="1" applyFill="1" applyBorder="1"/>
    <xf numFmtId="0" fontId="9" fillId="7" borderId="20" xfId="0" applyFont="1" applyFill="1" applyBorder="1"/>
    <xf numFmtId="3" fontId="9" fillId="7" borderId="23" xfId="0" applyNumberFormat="1" applyFont="1" applyFill="1" applyBorder="1"/>
    <xf numFmtId="0" fontId="9" fillId="7" borderId="25" xfId="0" applyFont="1" applyFill="1" applyBorder="1"/>
    <xf numFmtId="3" fontId="9" fillId="7" borderId="17" xfId="0" applyNumberFormat="1" applyFont="1" applyFill="1" applyBorder="1" applyAlignment="1">
      <alignment horizontal="right"/>
    </xf>
    <xf numFmtId="0" fontId="9" fillId="7" borderId="24" xfId="0" applyFont="1" applyFill="1" applyBorder="1"/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4" fontId="28" fillId="6" borderId="40" xfId="0" applyNumberFormat="1" applyFont="1" applyFill="1" applyBorder="1"/>
    <xf numFmtId="3" fontId="28" fillId="6" borderId="20" xfId="0" applyNumberFormat="1" applyFont="1" applyFill="1" applyBorder="1"/>
    <xf numFmtId="4" fontId="28" fillId="6" borderId="20" xfId="0" applyNumberFormat="1" applyFont="1" applyFill="1" applyBorder="1"/>
    <xf numFmtId="2" fontId="2" fillId="6" borderId="20" xfId="0" applyNumberFormat="1" applyFont="1" applyFill="1" applyBorder="1" applyAlignment="1">
      <alignment horizontal="center" vertical="center" wrapText="1"/>
    </xf>
    <xf numFmtId="2" fontId="2" fillId="6" borderId="20" xfId="0" applyNumberFormat="1" applyFont="1" applyFill="1" applyBorder="1" applyAlignment="1">
      <alignment horizontal="center" vertical="center"/>
    </xf>
    <xf numFmtId="0" fontId="1" fillId="6" borderId="20" xfId="0" applyFont="1" applyFill="1" applyBorder="1"/>
    <xf numFmtId="0" fontId="2" fillId="4" borderId="53" xfId="0" applyFont="1" applyFill="1" applyBorder="1"/>
    <xf numFmtId="0" fontId="2" fillId="4" borderId="45" xfId="0" applyFont="1" applyFill="1" applyBorder="1"/>
    <xf numFmtId="0" fontId="3" fillId="4" borderId="44" xfId="0" applyFont="1" applyFill="1" applyBorder="1"/>
    <xf numFmtId="3" fontId="29" fillId="4" borderId="20" xfId="0" applyNumberFormat="1" applyFont="1" applyFill="1" applyBorder="1"/>
    <xf numFmtId="2" fontId="22" fillId="4" borderId="20" xfId="0" applyNumberFormat="1" applyFont="1" applyFill="1" applyBorder="1" applyAlignment="1">
      <alignment horizontal="center" vertical="center" wrapText="1"/>
    </xf>
    <xf numFmtId="2" fontId="22" fillId="4" borderId="20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top" wrapText="1"/>
    </xf>
    <xf numFmtId="0" fontId="0" fillId="2" borderId="20" xfId="0" applyFill="1" applyBorder="1"/>
    <xf numFmtId="0" fontId="3" fillId="2" borderId="20" xfId="0" applyFont="1" applyFill="1" applyBorder="1"/>
    <xf numFmtId="3" fontId="1" fillId="4" borderId="20" xfId="0" applyNumberFormat="1" applyFont="1" applyFill="1" applyBorder="1"/>
    <xf numFmtId="0" fontId="2" fillId="5" borderId="54" xfId="0" applyFont="1" applyFill="1" applyBorder="1" applyAlignment="1">
      <alignment wrapText="1"/>
    </xf>
    <xf numFmtId="4" fontId="2" fillId="5" borderId="25" xfId="0" applyNumberFormat="1" applyFont="1" applyFill="1" applyBorder="1"/>
    <xf numFmtId="0" fontId="2" fillId="5" borderId="55" xfId="0" applyFont="1" applyFill="1" applyBorder="1"/>
    <xf numFmtId="2" fontId="1" fillId="4" borderId="20" xfId="0" applyNumberFormat="1" applyFont="1" applyFill="1" applyBorder="1"/>
    <xf numFmtId="0" fontId="0" fillId="4" borderId="20" xfId="0" applyFill="1" applyBorder="1"/>
    <xf numFmtId="0" fontId="3" fillId="4" borderId="20" xfId="0" applyFont="1" applyFill="1" applyBorder="1"/>
    <xf numFmtId="1" fontId="30" fillId="6" borderId="20" xfId="0" applyNumberFormat="1" applyFont="1" applyFill="1" applyBorder="1"/>
    <xf numFmtId="2" fontId="30" fillId="6" borderId="20" xfId="0" applyNumberFormat="1" applyFont="1" applyFill="1" applyBorder="1"/>
    <xf numFmtId="2" fontId="30" fillId="6" borderId="23" xfId="0" applyNumberFormat="1" applyFont="1" applyFill="1" applyBorder="1"/>
    <xf numFmtId="2" fontId="30" fillId="6" borderId="15" xfId="0" applyNumberFormat="1" applyFont="1" applyFill="1" applyBorder="1"/>
    <xf numFmtId="0" fontId="0" fillId="6" borderId="40" xfId="0" applyFill="1" applyBorder="1"/>
    <xf numFmtId="2" fontId="30" fillId="6" borderId="10" xfId="0" applyNumberFormat="1" applyFont="1" applyFill="1" applyBorder="1"/>
    <xf numFmtId="0" fontId="0" fillId="6" borderId="46" xfId="0" applyFill="1" applyBorder="1"/>
    <xf numFmtId="0" fontId="1" fillId="7" borderId="5" xfId="0" applyFont="1" applyFill="1" applyBorder="1"/>
    <xf numFmtId="0" fontId="0" fillId="7" borderId="49" xfId="0" applyFill="1" applyBorder="1"/>
    <xf numFmtId="0" fontId="0" fillId="2" borderId="56" xfId="0" applyFill="1" applyBorder="1"/>
    <xf numFmtId="0" fontId="0" fillId="2" borderId="57" xfId="0" applyFill="1" applyBorder="1"/>
    <xf numFmtId="0" fontId="0" fillId="2" borderId="44" xfId="0" applyFill="1" applyBorder="1"/>
    <xf numFmtId="0" fontId="1" fillId="2" borderId="21" xfId="0" applyFont="1" applyFill="1" applyBorder="1"/>
    <xf numFmtId="0" fontId="0" fillId="2" borderId="35" xfId="0" applyFill="1" applyBorder="1"/>
    <xf numFmtId="0" fontId="0" fillId="2" borderId="22" xfId="0" applyFill="1" applyBorder="1"/>
    <xf numFmtId="2" fontId="0" fillId="2" borderId="23" xfId="0" applyNumberFormat="1" applyFill="1" applyBorder="1"/>
    <xf numFmtId="0" fontId="0" fillId="2" borderId="55" xfId="0" applyFill="1" applyBorder="1"/>
    <xf numFmtId="0" fontId="0" fillId="2" borderId="46" xfId="0" applyFill="1" applyBorder="1"/>
    <xf numFmtId="2" fontId="0" fillId="2" borderId="37" xfId="0" applyNumberFormat="1" applyFill="1" applyBorder="1"/>
    <xf numFmtId="0" fontId="0" fillId="2" borderId="38" xfId="0" applyFill="1" applyBorder="1"/>
    <xf numFmtId="0" fontId="0" fillId="2" borderId="52" xfId="0" applyFill="1" applyBorder="1"/>
    <xf numFmtId="0" fontId="1" fillId="2" borderId="52" xfId="0" applyFont="1" applyFill="1" applyBorder="1"/>
    <xf numFmtId="0" fontId="1" fillId="2" borderId="40" xfId="0" applyFont="1" applyFill="1" applyBorder="1"/>
    <xf numFmtId="0" fontId="1" fillId="2" borderId="53" xfId="0" applyFont="1" applyFill="1" applyBorder="1"/>
    <xf numFmtId="0" fontId="0" fillId="2" borderId="45" xfId="0" applyFill="1" applyBorder="1"/>
    <xf numFmtId="0" fontId="0" fillId="2" borderId="10" xfId="0" applyFill="1" applyBorder="1"/>
    <xf numFmtId="0" fontId="0" fillId="2" borderId="11" xfId="0" applyFill="1" applyBorder="1"/>
    <xf numFmtId="1" fontId="3" fillId="2" borderId="40" xfId="0" applyNumberFormat="1" applyFont="1" applyFill="1" applyBorder="1"/>
    <xf numFmtId="0" fontId="0" fillId="2" borderId="53" xfId="0" applyFill="1" applyBorder="1"/>
    <xf numFmtId="0" fontId="0" fillId="2" borderId="47" xfId="0" applyFill="1" applyBorder="1"/>
    <xf numFmtId="2" fontId="0" fillId="2" borderId="20" xfId="0" applyNumberFormat="1" applyFill="1" applyBorder="1"/>
    <xf numFmtId="2" fontId="0" fillId="4" borderId="45" xfId="0" applyNumberFormat="1" applyFill="1" applyBorder="1"/>
    <xf numFmtId="2" fontId="1" fillId="4" borderId="11" xfId="0" applyNumberFormat="1" applyFont="1" applyFill="1" applyBorder="1"/>
    <xf numFmtId="0" fontId="1" fillId="4" borderId="46" xfId="0" applyFont="1" applyFill="1" applyBorder="1" applyAlignment="1">
      <alignment horizontal="right"/>
    </xf>
    <xf numFmtId="0" fontId="1" fillId="4" borderId="36" xfId="0" applyFont="1" applyFill="1" applyBorder="1"/>
    <xf numFmtId="0" fontId="0" fillId="4" borderId="46" xfId="0" applyFill="1" applyBorder="1"/>
    <xf numFmtId="2" fontId="0" fillId="4" borderId="10" xfId="0" applyNumberFormat="1" applyFill="1" applyBorder="1"/>
    <xf numFmtId="0" fontId="0" fillId="4" borderId="11" xfId="0" applyFill="1" applyBorder="1"/>
    <xf numFmtId="0" fontId="0" fillId="4" borderId="52" xfId="0" applyFill="1" applyBorder="1"/>
    <xf numFmtId="0" fontId="0" fillId="4" borderId="53" xfId="0" applyFill="1" applyBorder="1"/>
    <xf numFmtId="0" fontId="0" fillId="4" borderId="36" xfId="0" applyFill="1" applyBorder="1"/>
    <xf numFmtId="3" fontId="0" fillId="4" borderId="37" xfId="0" applyNumberFormat="1" applyFill="1" applyBorder="1"/>
    <xf numFmtId="0" fontId="0" fillId="4" borderId="38" xfId="0" applyFill="1" applyBorder="1"/>
    <xf numFmtId="0" fontId="0" fillId="4" borderId="28" xfId="0" applyFill="1" applyBorder="1"/>
    <xf numFmtId="3" fontId="0" fillId="4" borderId="0" xfId="0" applyNumberFormat="1" applyFill="1"/>
    <xf numFmtId="0" fontId="0" fillId="4" borderId="29" xfId="0" applyFill="1" applyBorder="1"/>
    <xf numFmtId="3" fontId="0" fillId="4" borderId="40" xfId="0" applyNumberFormat="1" applyFill="1" applyBorder="1"/>
    <xf numFmtId="4" fontId="0" fillId="4" borderId="20" xfId="0" applyNumberFormat="1" applyFill="1" applyBorder="1"/>
    <xf numFmtId="0" fontId="0" fillId="4" borderId="45" xfId="0" applyFill="1" applyBorder="1"/>
    <xf numFmtId="3" fontId="0" fillId="4" borderId="20" xfId="0" applyNumberFormat="1" applyFill="1" applyBorder="1"/>
    <xf numFmtId="0" fontId="1" fillId="7" borderId="44" xfId="0" applyFont="1" applyFill="1" applyBorder="1"/>
    <xf numFmtId="3" fontId="1" fillId="7" borderId="20" xfId="0" applyNumberFormat="1" applyFont="1" applyFill="1" applyBorder="1"/>
    <xf numFmtId="0" fontId="0" fillId="7" borderId="45" xfId="0" applyFill="1" applyBorder="1"/>
    <xf numFmtId="0" fontId="31" fillId="7" borderId="28" xfId="0" applyFont="1" applyFill="1" applyBorder="1"/>
    <xf numFmtId="0" fontId="0" fillId="7" borderId="0" xfId="0" applyFill="1"/>
    <xf numFmtId="0" fontId="0" fillId="7" borderId="29" xfId="0" applyFill="1" applyBorder="1"/>
    <xf numFmtId="4" fontId="31" fillId="7" borderId="20" xfId="0" applyNumberFormat="1" applyFont="1" applyFill="1" applyBorder="1"/>
    <xf numFmtId="0" fontId="31" fillId="7" borderId="45" xfId="0" applyFont="1" applyFill="1" applyBorder="1"/>
    <xf numFmtId="0" fontId="2" fillId="7" borderId="46" xfId="0" applyFont="1" applyFill="1" applyBorder="1"/>
    <xf numFmtId="4" fontId="28" fillId="7" borderId="10" xfId="0" applyNumberFormat="1" applyFont="1" applyFill="1" applyBorder="1"/>
    <xf numFmtId="0" fontId="28" fillId="7" borderId="11" xfId="0" applyFont="1" applyFill="1" applyBorder="1"/>
    <xf numFmtId="0" fontId="8" fillId="0" borderId="20" xfId="0" applyFont="1" applyBorder="1"/>
    <xf numFmtId="3" fontId="8" fillId="0" borderId="20" xfId="0" applyNumberFormat="1" applyFont="1" applyBorder="1" applyAlignment="1">
      <alignment horizontal="right"/>
    </xf>
    <xf numFmtId="0" fontId="20" fillId="0" borderId="20" xfId="0" applyFont="1" applyBorder="1" applyAlignment="1">
      <alignment horizontal="right" vertical="center"/>
    </xf>
    <xf numFmtId="0" fontId="9" fillId="0" borderId="44" xfId="0" applyFont="1" applyBorder="1" applyAlignment="1">
      <alignment horizontal="left"/>
    </xf>
    <xf numFmtId="0" fontId="8" fillId="0" borderId="70" xfId="0" applyFont="1" applyBorder="1"/>
    <xf numFmtId="0" fontId="8" fillId="0" borderId="32" xfId="0" applyFont="1" applyBorder="1"/>
    <xf numFmtId="0" fontId="9" fillId="0" borderId="32" xfId="0" applyFont="1" applyBorder="1"/>
    <xf numFmtId="0" fontId="9" fillId="0" borderId="71" xfId="0" applyFont="1" applyBorder="1"/>
    <xf numFmtId="0" fontId="8" fillId="0" borderId="7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3" fontId="9" fillId="0" borderId="32" xfId="0" applyNumberFormat="1" applyFont="1" applyBorder="1"/>
    <xf numFmtId="3" fontId="13" fillId="0" borderId="32" xfId="0" applyNumberFormat="1" applyFont="1" applyBorder="1"/>
    <xf numFmtId="0" fontId="8" fillId="0" borderId="7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2" fillId="0" borderId="32" xfId="0" applyFont="1" applyBorder="1"/>
    <xf numFmtId="0" fontId="12" fillId="0" borderId="71" xfId="0" applyFont="1" applyBorder="1"/>
    <xf numFmtId="0" fontId="9" fillId="7" borderId="3" xfId="0" applyFont="1" applyFill="1" applyBorder="1" applyAlignment="1">
      <alignment horizontal="right"/>
    </xf>
    <xf numFmtId="0" fontId="9" fillId="7" borderId="38" xfId="0" applyFont="1" applyFill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44" fillId="7" borderId="21" xfId="0" applyFont="1" applyFill="1" applyBorder="1"/>
    <xf numFmtId="0" fontId="45" fillId="7" borderId="35" xfId="0" applyFont="1" applyFill="1" applyBorder="1"/>
    <xf numFmtId="0" fontId="45" fillId="7" borderId="28" xfId="0" applyFont="1" applyFill="1" applyBorder="1"/>
    <xf numFmtId="0" fontId="45" fillId="7" borderId="0" xfId="0" applyFont="1" applyFill="1"/>
    <xf numFmtId="0" fontId="44" fillId="7" borderId="36" xfId="0" applyFont="1" applyFill="1" applyBorder="1"/>
    <xf numFmtId="0" fontId="45" fillId="7" borderId="37" xfId="0" applyFont="1" applyFill="1" applyBorder="1"/>
    <xf numFmtId="2" fontId="30" fillId="7" borderId="20" xfId="0" applyNumberFormat="1" applyFont="1" applyFill="1" applyBorder="1"/>
    <xf numFmtId="0" fontId="9" fillId="6" borderId="17" xfId="0" applyFont="1" applyFill="1" applyBorder="1" applyAlignment="1" applyProtection="1">
      <alignment horizontal="right"/>
      <protection locked="0"/>
    </xf>
    <xf numFmtId="0" fontId="18" fillId="7" borderId="19" xfId="0" applyFont="1" applyFill="1" applyBorder="1"/>
    <xf numFmtId="0" fontId="9" fillId="8" borderId="23" xfId="0" applyFont="1" applyFill="1" applyBorder="1" applyAlignment="1">
      <alignment horizontal="right"/>
    </xf>
    <xf numFmtId="0" fontId="18" fillId="8" borderId="25" xfId="0" applyFont="1" applyFill="1" applyBorder="1"/>
    <xf numFmtId="0" fontId="9" fillId="7" borderId="22" xfId="0" applyFont="1" applyFill="1" applyBorder="1"/>
    <xf numFmtId="0" fontId="9" fillId="7" borderId="29" xfId="0" applyFont="1" applyFill="1" applyBorder="1"/>
    <xf numFmtId="0" fontId="9" fillId="7" borderId="38" xfId="0" applyFont="1" applyFill="1" applyBorder="1"/>
    <xf numFmtId="0" fontId="46" fillId="0" borderId="0" xfId="0" applyFont="1"/>
    <xf numFmtId="0" fontId="8" fillId="0" borderId="0" xfId="0" applyFont="1" applyAlignment="1">
      <alignment horizontal="center" vertical="center"/>
    </xf>
    <xf numFmtId="44" fontId="9" fillId="0" borderId="0" xfId="1" applyFont="1" applyFill="1" applyBorder="1" applyAlignment="1">
      <alignment horizontal="center"/>
    </xf>
    <xf numFmtId="0" fontId="18" fillId="6" borderId="15" xfId="0" applyFont="1" applyFill="1" applyBorder="1" applyProtection="1">
      <protection locked="0"/>
    </xf>
    <xf numFmtId="0" fontId="17" fillId="4" borderId="1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right"/>
    </xf>
    <xf numFmtId="0" fontId="0" fillId="0" borderId="20" xfId="0" applyBorder="1" applyAlignment="1">
      <alignment horizontal="right"/>
    </xf>
    <xf numFmtId="0" fontId="9" fillId="0" borderId="20" xfId="0" applyFont="1" applyBorder="1"/>
    <xf numFmtId="3" fontId="9" fillId="0" borderId="20" xfId="0" applyNumberFormat="1" applyFont="1" applyBorder="1"/>
    <xf numFmtId="3" fontId="9" fillId="0" borderId="10" xfId="0" applyNumberFormat="1" applyFont="1" applyBorder="1"/>
    <xf numFmtId="0" fontId="9" fillId="0" borderId="10" xfId="0" applyFont="1" applyBorder="1"/>
    <xf numFmtId="0" fontId="20" fillId="2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/>
    </xf>
    <xf numFmtId="0" fontId="8" fillId="2" borderId="40" xfId="0" applyFont="1" applyFill="1" applyBorder="1"/>
    <xf numFmtId="0" fontId="15" fillId="6" borderId="23" xfId="0" applyFont="1" applyFill="1" applyBorder="1" applyAlignment="1">
      <alignment horizontal="left" vertical="top" wrapText="1"/>
    </xf>
    <xf numFmtId="0" fontId="15" fillId="6" borderId="25" xfId="0" applyFont="1" applyFill="1" applyBorder="1" applyAlignment="1">
      <alignment horizontal="left" vertical="top" wrapText="1"/>
    </xf>
    <xf numFmtId="0" fontId="15" fillId="6" borderId="24" xfId="0" applyFont="1" applyFill="1" applyBorder="1" applyAlignment="1">
      <alignment horizontal="left" vertical="top" wrapText="1"/>
    </xf>
    <xf numFmtId="0" fontId="43" fillId="6" borderId="16" xfId="2" applyFill="1" applyBorder="1" applyAlignment="1">
      <alignment horizontal="left" vertical="top" wrapText="1"/>
    </xf>
    <xf numFmtId="0" fontId="15" fillId="6" borderId="18" xfId="0" applyFont="1" applyFill="1" applyBorder="1" applyAlignment="1">
      <alignment horizontal="left" vertical="top" wrapText="1"/>
    </xf>
    <xf numFmtId="0" fontId="15" fillId="6" borderId="14" xfId="0" applyFont="1" applyFill="1" applyBorder="1" applyAlignment="1">
      <alignment horizontal="left" vertical="top" wrapText="1"/>
    </xf>
    <xf numFmtId="3" fontId="9" fillId="0" borderId="15" xfId="0" applyNumberFormat="1" applyFont="1" applyBorder="1"/>
    <xf numFmtId="0" fontId="9" fillId="0" borderId="15" xfId="0" applyFont="1" applyBorder="1"/>
    <xf numFmtId="0" fontId="18" fillId="6" borderId="20" xfId="0" applyFont="1" applyFill="1" applyBorder="1" applyAlignment="1">
      <alignment wrapText="1"/>
    </xf>
    <xf numFmtId="0" fontId="9" fillId="6" borderId="20" xfId="0" applyFont="1" applyFill="1" applyBorder="1" applyAlignment="1">
      <alignment wrapText="1"/>
    </xf>
    <xf numFmtId="3" fontId="9" fillId="7" borderId="2" xfId="0" applyNumberFormat="1" applyFont="1" applyFill="1" applyBorder="1"/>
    <xf numFmtId="0" fontId="9" fillId="7" borderId="4" xfId="0" applyFont="1" applyFill="1" applyBorder="1"/>
    <xf numFmtId="0" fontId="9" fillId="7" borderId="36" xfId="0" applyFont="1" applyFill="1" applyBorder="1"/>
    <xf numFmtId="0" fontId="9" fillId="7" borderId="37" xfId="0" applyFont="1" applyFill="1" applyBorder="1"/>
    <xf numFmtId="0" fontId="17" fillId="4" borderId="5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vertical="center" wrapText="1"/>
    </xf>
    <xf numFmtId="0" fontId="17" fillId="4" borderId="12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wrapText="1"/>
    </xf>
    <xf numFmtId="0" fontId="9" fillId="6" borderId="39" xfId="0" applyFont="1" applyFill="1" applyBorder="1" applyAlignment="1">
      <alignment wrapText="1"/>
    </xf>
    <xf numFmtId="0" fontId="15" fillId="6" borderId="41" xfId="0" applyFont="1" applyFill="1" applyBorder="1" applyAlignment="1">
      <alignment horizontal="left" vertical="top" wrapText="1"/>
    </xf>
    <xf numFmtId="0" fontId="0" fillId="6" borderId="42" xfId="0" applyFill="1" applyBorder="1" applyAlignment="1">
      <alignment horizontal="left" vertical="top" wrapText="1"/>
    </xf>
    <xf numFmtId="0" fontId="0" fillId="6" borderId="43" xfId="0" applyFill="1" applyBorder="1" applyAlignment="1">
      <alignment horizontal="left" vertical="top" wrapText="1"/>
    </xf>
    <xf numFmtId="0" fontId="15" fillId="6" borderId="27" xfId="0" applyFont="1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26" xfId="0" applyFill="1" applyBorder="1" applyAlignment="1">
      <alignment horizontal="left" vertical="top" wrapText="1"/>
    </xf>
    <xf numFmtId="0" fontId="15" fillId="6" borderId="16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4" xfId="0" applyFill="1" applyBorder="1" applyAlignment="1">
      <alignment horizontal="left" vertical="top" wrapText="1"/>
    </xf>
    <xf numFmtId="164" fontId="9" fillId="6" borderId="23" xfId="0" applyNumberFormat="1" applyFont="1" applyFill="1" applyBorder="1"/>
    <xf numFmtId="0" fontId="0" fillId="0" borderId="24" xfId="0" applyBorder="1"/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4" borderId="68" xfId="0" applyFont="1" applyFill="1" applyBorder="1"/>
    <xf numFmtId="0" fontId="0" fillId="4" borderId="61" xfId="0" applyFill="1" applyBorder="1"/>
    <xf numFmtId="0" fontId="0" fillId="4" borderId="60" xfId="0" applyFill="1" applyBorder="1"/>
    <xf numFmtId="0" fontId="3" fillId="0" borderId="7" xfId="0" applyFont="1" applyBorder="1"/>
    <xf numFmtId="0" fontId="0" fillId="0" borderId="69" xfId="0" applyBorder="1"/>
    <xf numFmtId="0" fontId="0" fillId="0" borderId="8" xfId="0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39" fillId="5" borderId="23" xfId="0" applyFont="1" applyFill="1" applyBorder="1" applyAlignment="1">
      <alignment horizontal="center" vertical="top" wrapText="1"/>
    </xf>
    <xf numFmtId="0" fontId="0" fillId="5" borderId="24" xfId="0" applyFill="1" applyBorder="1" applyAlignment="1">
      <alignment horizontal="center" vertical="top" wrapText="1"/>
    </xf>
    <xf numFmtId="0" fontId="0" fillId="0" borderId="6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" fillId="2" borderId="52" xfId="0" applyFont="1" applyFill="1" applyBorder="1"/>
    <xf numFmtId="0" fontId="1" fillId="2" borderId="40" xfId="0" applyFont="1" applyFill="1" applyBorder="1"/>
    <xf numFmtId="0" fontId="1" fillId="2" borderId="46" xfId="0" applyFont="1" applyFill="1" applyBorder="1"/>
    <xf numFmtId="0" fontId="1" fillId="2" borderId="10" xfId="0" applyFont="1" applyFill="1" applyBorder="1"/>
    <xf numFmtId="0" fontId="0" fillId="2" borderId="39" xfId="0" applyFill="1" applyBorder="1"/>
    <xf numFmtId="0" fontId="0" fillId="2" borderId="53" xfId="0" applyFill="1" applyBorder="1"/>
    <xf numFmtId="0" fontId="0" fillId="2" borderId="9" xfId="0" applyFill="1" applyBorder="1"/>
    <xf numFmtId="0" fontId="0" fillId="2" borderId="11" xfId="0" applyFill="1" applyBorder="1"/>
    <xf numFmtId="0" fontId="0" fillId="6" borderId="58" xfId="0" applyFill="1" applyBorder="1"/>
    <xf numFmtId="0" fontId="0" fillId="6" borderId="60" xfId="0" applyFill="1" applyBorder="1"/>
    <xf numFmtId="0" fontId="33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0" fontId="0" fillId="6" borderId="36" xfId="0" applyFill="1" applyBorder="1"/>
    <xf numFmtId="0" fontId="0" fillId="6" borderId="37" xfId="0" applyFill="1" applyBorder="1"/>
    <xf numFmtId="44" fontId="34" fillId="7" borderId="30" xfId="1" applyFont="1" applyFill="1" applyBorder="1" applyAlignment="1">
      <alignment horizontal="center" vertical="center"/>
    </xf>
    <xf numFmtId="0" fontId="35" fillId="7" borderId="30" xfId="0" applyFont="1" applyFill="1" applyBorder="1"/>
    <xf numFmtId="0" fontId="0" fillId="6" borderId="21" xfId="0" applyFill="1" applyBorder="1"/>
    <xf numFmtId="0" fontId="0" fillId="6" borderId="35" xfId="0" applyFill="1" applyBorder="1"/>
    <xf numFmtId="0" fontId="0" fillId="6" borderId="22" xfId="0" applyFill="1" applyBorder="1"/>
    <xf numFmtId="0" fontId="0" fillId="6" borderId="28" xfId="0" applyFill="1" applyBorder="1"/>
    <xf numFmtId="0" fontId="0" fillId="6" borderId="0" xfId="0" applyFill="1"/>
    <xf numFmtId="0" fontId="0" fillId="6" borderId="29" xfId="0" applyFill="1" applyBorder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2CC"/>
      <color rgb="FFFFE699"/>
      <color rgb="FFFFFFCC"/>
      <color rgb="FFFFFF99"/>
      <color rgb="FFFFE684"/>
      <color rgb="FFFFD56D"/>
      <color rgb="FFFFF2BF"/>
      <color rgb="FFFEF2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373380</xdr:colOff>
      <xdr:row>8</xdr:row>
      <xdr:rowOff>22860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32660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20</xdr:col>
      <xdr:colOff>662940</xdr:colOff>
      <xdr:row>39</xdr:row>
      <xdr:rowOff>152400</xdr:rowOff>
    </xdr:from>
    <xdr:ext cx="426720" cy="176784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692640" y="8374380"/>
          <a:ext cx="426720" cy="1767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00000"/>
            </a:lnSpc>
            <a:spcBef>
              <a:spcPts val="1800"/>
            </a:spcBef>
            <a:spcAft>
              <a:spcPts val="0"/>
            </a:spcAft>
          </a:pPr>
          <a:endParaRPr lang="de-DE" sz="1200" i="1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373380</xdr:colOff>
      <xdr:row>8</xdr:row>
      <xdr:rowOff>22860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750820" y="11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20</xdr:col>
      <xdr:colOff>662940</xdr:colOff>
      <xdr:row>39</xdr:row>
      <xdr:rowOff>152400</xdr:rowOff>
    </xdr:from>
    <xdr:ext cx="426720" cy="176784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305020" y="7193280"/>
          <a:ext cx="426720" cy="1767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00000"/>
            </a:lnSpc>
            <a:spcBef>
              <a:spcPts val="1800"/>
            </a:spcBef>
            <a:spcAft>
              <a:spcPts val="0"/>
            </a:spcAft>
          </a:pPr>
          <a:endParaRPr lang="de-DE" sz="1200" i="1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17</xdr:col>
      <xdr:colOff>228600</xdr:colOff>
      <xdr:row>1</xdr:row>
      <xdr:rowOff>15241</xdr:rowOff>
    </xdr:from>
    <xdr:ext cx="1706880" cy="668302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3740" y="274321"/>
          <a:ext cx="1706880" cy="66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891540</xdr:colOff>
      <xdr:row>1</xdr:row>
      <xdr:rowOff>15240</xdr:rowOff>
    </xdr:from>
    <xdr:ext cx="1905000" cy="745873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220980"/>
          <a:ext cx="1905000" cy="745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5"/>
  <sheetViews>
    <sheetView tabSelected="1" zoomScale="99" zoomScaleNormal="99" workbookViewId="0">
      <selection activeCell="N14" sqref="N14"/>
    </sheetView>
  </sheetViews>
  <sheetFormatPr baseColWidth="10" defaultColWidth="11.5703125" defaultRowHeight="16.5" x14ac:dyDescent="0.3"/>
  <cols>
    <col min="1" max="1" width="1" style="9" customWidth="1"/>
    <col min="2" max="2" width="3.5703125" style="9" customWidth="1"/>
    <col min="3" max="3" width="18.7109375" style="9" customWidth="1"/>
    <col min="4" max="4" width="7.140625" style="9" customWidth="1"/>
    <col min="5" max="10" width="4.7109375" style="9" customWidth="1"/>
    <col min="11" max="11" width="8.42578125" style="9" hidden="1" customWidth="1"/>
    <col min="12" max="12" width="3.7109375" style="9" customWidth="1"/>
    <col min="13" max="13" width="5.140625" style="9" customWidth="1"/>
    <col min="14" max="14" width="6.28515625" style="9" customWidth="1"/>
    <col min="15" max="15" width="5.28515625" style="9" customWidth="1"/>
    <col min="16" max="16" width="8.5703125" style="9" customWidth="1"/>
    <col min="17" max="17" width="3.85546875" style="9" customWidth="1"/>
    <col min="18" max="18" width="6.28515625" style="9" customWidth="1"/>
    <col min="19" max="19" width="7.7109375" style="9" customWidth="1"/>
    <col min="20" max="20" width="4.42578125" style="9" customWidth="1"/>
    <col min="21" max="21" width="9.7109375" style="9" customWidth="1"/>
    <col min="22" max="36" width="5.7109375" style="9" customWidth="1"/>
    <col min="37" max="16384" width="11.5703125" style="9"/>
  </cols>
  <sheetData>
    <row r="1" spans="2:21" ht="20.25" x14ac:dyDescent="0.3">
      <c r="C1" s="42" t="s">
        <v>14</v>
      </c>
    </row>
    <row r="2" spans="2:21" ht="10.9" customHeight="1" x14ac:dyDescent="0.3"/>
    <row r="3" spans="2:21" ht="15.6" customHeight="1" x14ac:dyDescent="0.3">
      <c r="C3" s="37" t="s">
        <v>15</v>
      </c>
      <c r="D3" s="305"/>
      <c r="E3" s="306"/>
      <c r="F3" s="306"/>
      <c r="G3" s="306"/>
      <c r="H3" s="306"/>
      <c r="I3" s="306"/>
      <c r="J3" s="306"/>
      <c r="K3" s="307"/>
    </row>
    <row r="4" spans="2:21" ht="15.6" customHeight="1" x14ac:dyDescent="0.3">
      <c r="C4" s="37"/>
      <c r="D4" s="308"/>
      <c r="E4" s="309"/>
      <c r="F4" s="309"/>
      <c r="G4" s="309"/>
      <c r="H4" s="309"/>
      <c r="I4" s="309"/>
      <c r="J4" s="309"/>
      <c r="K4" s="310"/>
    </row>
    <row r="5" spans="2:21" ht="15.6" customHeight="1" x14ac:dyDescent="0.3">
      <c r="C5" s="37"/>
      <c r="D5" s="311"/>
      <c r="E5" s="312"/>
      <c r="F5" s="312"/>
      <c r="G5" s="312"/>
      <c r="H5" s="312"/>
      <c r="I5" s="312"/>
      <c r="J5" s="312"/>
      <c r="K5" s="313"/>
    </row>
    <row r="6" spans="2:21" x14ac:dyDescent="0.3">
      <c r="C6" s="37" t="s">
        <v>16</v>
      </c>
      <c r="D6" s="274"/>
      <c r="E6" s="275"/>
      <c r="F6" s="275"/>
      <c r="G6" s="275"/>
      <c r="H6" s="275"/>
      <c r="I6" s="275"/>
      <c r="J6" s="275"/>
      <c r="K6" s="276"/>
    </row>
    <row r="7" spans="2:21" x14ac:dyDescent="0.3">
      <c r="C7" s="37" t="s">
        <v>17</v>
      </c>
      <c r="D7" s="274"/>
      <c r="E7" s="275"/>
      <c r="F7" s="275"/>
      <c r="G7" s="275"/>
      <c r="H7" s="275"/>
      <c r="I7" s="275"/>
      <c r="J7" s="275"/>
      <c r="K7" s="276"/>
      <c r="S7" s="243" t="s">
        <v>23</v>
      </c>
      <c r="T7" s="314"/>
      <c r="U7" s="315"/>
    </row>
    <row r="8" spans="2:21" x14ac:dyDescent="0.3">
      <c r="C8" s="37" t="s">
        <v>72</v>
      </c>
      <c r="D8" s="277"/>
      <c r="E8" s="278"/>
      <c r="F8" s="278"/>
      <c r="G8" s="278"/>
      <c r="H8" s="278"/>
      <c r="I8" s="278"/>
      <c r="J8" s="278"/>
      <c r="K8" s="279"/>
      <c r="T8" s="38"/>
      <c r="U8" s="38"/>
    </row>
    <row r="9" spans="2:21" ht="9" customHeight="1" thickBot="1" x14ac:dyDescent="0.35"/>
    <row r="10" spans="2:21" ht="15.6" customHeight="1" x14ac:dyDescent="0.3">
      <c r="B10" s="292" t="s">
        <v>0</v>
      </c>
      <c r="C10" s="294" t="s">
        <v>1</v>
      </c>
      <c r="D10" s="295"/>
      <c r="E10" s="298" t="s">
        <v>91</v>
      </c>
      <c r="F10" s="298"/>
      <c r="G10" s="298"/>
      <c r="H10" s="298"/>
      <c r="I10" s="298"/>
      <c r="J10" s="299"/>
      <c r="K10" s="288" t="s">
        <v>92</v>
      </c>
      <c r="L10" s="288" t="s">
        <v>62</v>
      </c>
      <c r="M10" s="300"/>
      <c r="N10" s="288" t="s">
        <v>2</v>
      </c>
      <c r="O10" s="288"/>
      <c r="P10" s="288" t="s">
        <v>303</v>
      </c>
      <c r="Q10" s="290"/>
      <c r="R10" s="288" t="s">
        <v>3</v>
      </c>
      <c r="S10" s="288" t="s">
        <v>4</v>
      </c>
      <c r="T10" s="288"/>
      <c r="U10" s="262" t="s">
        <v>304</v>
      </c>
    </row>
    <row r="11" spans="2:21" ht="17.25" thickBot="1" x14ac:dyDescent="0.35">
      <c r="B11" s="293"/>
      <c r="C11" s="296"/>
      <c r="D11" s="297"/>
      <c r="E11" s="132" t="s">
        <v>5</v>
      </c>
      <c r="F11" s="133" t="s">
        <v>6</v>
      </c>
      <c r="G11" s="133" t="s">
        <v>7</v>
      </c>
      <c r="H11" s="133" t="s">
        <v>8</v>
      </c>
      <c r="I11" s="133" t="s">
        <v>9</v>
      </c>
      <c r="J11" s="134" t="s">
        <v>10</v>
      </c>
      <c r="K11" s="302"/>
      <c r="L11" s="301"/>
      <c r="M11" s="301"/>
      <c r="N11" s="289"/>
      <c r="O11" s="289"/>
      <c r="P11" s="291"/>
      <c r="Q11" s="291"/>
      <c r="R11" s="289"/>
      <c r="S11" s="301"/>
      <c r="T11" s="301"/>
      <c r="U11" s="263" t="s">
        <v>305</v>
      </c>
    </row>
    <row r="12" spans="2:21" x14ac:dyDescent="0.3">
      <c r="B12" s="39">
        <v>1</v>
      </c>
      <c r="C12" s="303"/>
      <c r="D12" s="304"/>
      <c r="E12" s="115"/>
      <c r="F12" s="116"/>
      <c r="G12" s="116"/>
      <c r="H12" s="116"/>
      <c r="I12" s="116"/>
      <c r="J12" s="116"/>
      <c r="K12" s="122">
        <f>IF(N12=0,0,IF(N12&gt;0,IF(N12&lt;=Luftmenge!H8,Luftmenge!B8,IF('Ang. Absauganlage'!N12&lt;=Luftmenge!H10,Luftmenge!B10,IF('Ang. Absauganlage'!N12&lt;=Luftmenge!H11,Luftmenge!B11,IF('Ang. Absauganlage'!N12&lt;=Luftmenge!H14,Luftmenge!B14,IF('Ang. Absauganlage'!N12&lt;=Luftmenge!H16,Luftmenge!B16,IF('Ang. Absauganlage'!N12&lt;=Luftmenge!H17,Luftmenge!B17,IF('Ang. Absauganlage'!N12&lt;=Luftmenge!H18,Luftmenge!B18,IF('Ang. Absauganlage'!N12&lt;=Luftmenge!H19,Luftmenge!B19,IF('Ang. Absauganlage'!N12&lt;=Luftmenge!H20,Luftmenge!B20,IF('Ang. Absauganlage'!N12&lt;=Luftmenge!H21,Luftmenge!B21,IF('Ang. Absauganlage'!N12&lt;=Luftmenge!H22,Luftmenge!B22,IF('Ang. Absauganlage'!N12&lt;=Luftmenge!H23,Luftmenge!B23,IF('Ang. Absauganlage'!N12&lt;=Luftmenge!H24,Luftmenge!B24,IF('Ang. Absauganlage'!N12&lt;=Luftmenge!H25,Luftmenge!B25,IF('Ang. Absauganlage'!N12&lt;=Luftmenge!H26,Luftmenge!B26,IF('Ang. Absauganlage'!N12&lt;=Luftmenge!H27,Luftmenge!B27,Luftmenge!B36))))))))))))))))))</f>
        <v>0</v>
      </c>
      <c r="L12" s="120">
        <v>20</v>
      </c>
      <c r="M12" s="124" t="s">
        <v>11</v>
      </c>
      <c r="N12" s="125">
        <f>((E12*E12*3.14159/4)+(F12*F12*3.14159/4)+(G12*G12*3.14159/4)+(H12*H12*3.14159/4)+(I12*I12*3.14159/4)+(J12*J12*3.14159/4))*L12*0.0036</f>
        <v>0</v>
      </c>
      <c r="O12" s="126" t="s">
        <v>12</v>
      </c>
      <c r="P12" s="251"/>
      <c r="Q12" s="252" t="s">
        <v>13</v>
      </c>
      <c r="R12" s="121">
        <v>0</v>
      </c>
      <c r="S12" s="130">
        <f t="shared" ref="S12:S26" si="0">R12*N12</f>
        <v>0</v>
      </c>
      <c r="T12" s="126" t="s">
        <v>12</v>
      </c>
      <c r="U12" s="261"/>
    </row>
    <row r="13" spans="2:21" x14ac:dyDescent="0.3">
      <c r="B13" s="40">
        <v>2</v>
      </c>
      <c r="C13" s="282"/>
      <c r="D13" s="283"/>
      <c r="E13" s="117"/>
      <c r="F13" s="118"/>
      <c r="G13" s="118"/>
      <c r="H13" s="118"/>
      <c r="I13" s="118"/>
      <c r="J13" s="118"/>
      <c r="K13" s="122">
        <f>IF(N13=0,0,IF(N13&gt;0,IF(N13&lt;=Luftmenge!H8,Luftmenge!B8,IF('Ang. Absauganlage'!N13&lt;=Luftmenge!H10,Luftmenge!B10,IF('Ang. Absauganlage'!N13&lt;=Luftmenge!H11,Luftmenge!B11,IF('Ang. Absauganlage'!N13&lt;=Luftmenge!H14,Luftmenge!B14,IF('Ang. Absauganlage'!N13&lt;=Luftmenge!H16,Luftmenge!B16,IF('Ang. Absauganlage'!N13&lt;=Luftmenge!H17,Luftmenge!B17,IF('Ang. Absauganlage'!N13&lt;=Luftmenge!H18,Luftmenge!B18,IF('Ang. Absauganlage'!N13&lt;=Luftmenge!H19,Luftmenge!B19,IF('Ang. Absauganlage'!N13&lt;=Luftmenge!H20,Luftmenge!B20,IF('Ang. Absauganlage'!N13&lt;=Luftmenge!H21,Luftmenge!B21,IF('Ang. Absauganlage'!N13&lt;=Luftmenge!H22,Luftmenge!B22,IF('Ang. Absauganlage'!N13&lt;=Luftmenge!H23,Luftmenge!B23,IF('Ang. Absauganlage'!N13&lt;=Luftmenge!H24,Luftmenge!B24,IF('Ang. Absauganlage'!N13&lt;=Luftmenge!H25,Luftmenge!B25,IF('Ang. Absauganlage'!N13&lt;=Luftmenge!H26,Luftmenge!B26,IF('Ang. Absauganlage'!N13&lt;=Luftmenge!H27,Luftmenge!B27,Luftmenge!B36))))))))))))))))))</f>
        <v>0</v>
      </c>
      <c r="L13" s="120">
        <v>20</v>
      </c>
      <c r="M13" s="124" t="s">
        <v>11</v>
      </c>
      <c r="N13" s="125">
        <f t="shared" ref="N13:N26" si="1">((E13*E13*3.14159/4)+(F13*F13*3.14159/4)+(G13*G13*3.14159/4)+(H13*H13*3.14159/4)+(I13*I13*3.14159/4)+(J13*J13*3.14159/4))*L13*0.0036</f>
        <v>0</v>
      </c>
      <c r="O13" s="126" t="s">
        <v>12</v>
      </c>
      <c r="P13" s="251"/>
      <c r="Q13" s="252" t="s">
        <v>13</v>
      </c>
      <c r="R13" s="121">
        <v>0</v>
      </c>
      <c r="S13" s="130">
        <f t="shared" si="0"/>
        <v>0</v>
      </c>
      <c r="T13" s="126" t="s">
        <v>12</v>
      </c>
      <c r="U13" s="261"/>
    </row>
    <row r="14" spans="2:21" x14ac:dyDescent="0.3">
      <c r="B14" s="40">
        <v>3</v>
      </c>
      <c r="C14" s="282"/>
      <c r="D14" s="283"/>
      <c r="E14" s="117"/>
      <c r="F14" s="118"/>
      <c r="G14" s="118"/>
      <c r="H14" s="118"/>
      <c r="I14" s="118"/>
      <c r="J14" s="118"/>
      <c r="K14" s="122">
        <f>IF(N14=0,0,IF(N14&gt;0,IF(N14&lt;=Luftmenge!H8,Luftmenge!B8,IF('Ang. Absauganlage'!N14&lt;=Luftmenge!H10,Luftmenge!B10,IF('Ang. Absauganlage'!N14&lt;=Luftmenge!H11,Luftmenge!B11,IF('Ang. Absauganlage'!N14&lt;=Luftmenge!H14,Luftmenge!B14,IF('Ang. Absauganlage'!N14&lt;=Luftmenge!H16,Luftmenge!B16,IF('Ang. Absauganlage'!N14&lt;=Luftmenge!H17,Luftmenge!B17,IF('Ang. Absauganlage'!N14&lt;=Luftmenge!H18,Luftmenge!B18,IF('Ang. Absauganlage'!N14&lt;=Luftmenge!H19,Luftmenge!B19,IF('Ang. Absauganlage'!N14&lt;=Luftmenge!H20,Luftmenge!B20,IF('Ang. Absauganlage'!N14&lt;=Luftmenge!H21,Luftmenge!B21,IF('Ang. Absauganlage'!N14&lt;=Luftmenge!H22,Luftmenge!B22,IF('Ang. Absauganlage'!N14&lt;=Luftmenge!H23,Luftmenge!B23,IF('Ang. Absauganlage'!N14&lt;=Luftmenge!H24,Luftmenge!B24,IF('Ang. Absauganlage'!N14&lt;=Luftmenge!H25,Luftmenge!B25,IF('Ang. Absauganlage'!N14&lt;=Luftmenge!H26,Luftmenge!B26,IF('Ang. Absauganlage'!N14&lt;=Luftmenge!H27,Luftmenge!B27,Luftmenge!B36))))))))))))))))))</f>
        <v>0</v>
      </c>
      <c r="L14" s="120">
        <v>20</v>
      </c>
      <c r="M14" s="124" t="s">
        <v>11</v>
      </c>
      <c r="N14" s="125">
        <f t="shared" si="1"/>
        <v>0</v>
      </c>
      <c r="O14" s="126" t="s">
        <v>12</v>
      </c>
      <c r="P14" s="251"/>
      <c r="Q14" s="252" t="s">
        <v>13</v>
      </c>
      <c r="R14" s="121">
        <v>0</v>
      </c>
      <c r="S14" s="130">
        <f t="shared" si="0"/>
        <v>0</v>
      </c>
      <c r="T14" s="126" t="s">
        <v>12</v>
      </c>
      <c r="U14" s="261"/>
    </row>
    <row r="15" spans="2:21" x14ac:dyDescent="0.3">
      <c r="B15" s="40">
        <v>4</v>
      </c>
      <c r="C15" s="282"/>
      <c r="D15" s="283"/>
      <c r="E15" s="117"/>
      <c r="F15" s="118"/>
      <c r="G15" s="118"/>
      <c r="H15" s="118"/>
      <c r="I15" s="118"/>
      <c r="J15" s="118"/>
      <c r="K15" s="122">
        <f>IF(N15=0,0,IF(N15&gt;0,IF(N15&lt;=Luftmenge!H8,Luftmenge!B8,IF('Ang. Absauganlage'!N15&lt;=Luftmenge!H10,Luftmenge!B10,IF('Ang. Absauganlage'!N15&lt;=Luftmenge!H11,Luftmenge!B11,IF('Ang. Absauganlage'!N15&lt;=Luftmenge!H14,Luftmenge!B14,IF('Ang. Absauganlage'!N15&lt;=Luftmenge!H16,Luftmenge!B16,IF('Ang. Absauganlage'!N15&lt;=Luftmenge!H17,Luftmenge!B17,IF('Ang. Absauganlage'!N15&lt;=Luftmenge!H18,Luftmenge!B18,IF('Ang. Absauganlage'!N15&lt;=Luftmenge!H19,Luftmenge!B19,IF('Ang. Absauganlage'!N15&lt;=Luftmenge!H20,Luftmenge!B20,IF('Ang. Absauganlage'!N15&lt;=Luftmenge!H21,Luftmenge!B21,IF('Ang. Absauganlage'!N15&lt;=Luftmenge!H22,Luftmenge!B22,IF('Ang. Absauganlage'!N15&lt;=Luftmenge!H23,Luftmenge!B23,IF('Ang. Absauganlage'!N15&lt;=Luftmenge!H24,Luftmenge!B24,IF('Ang. Absauganlage'!N15&lt;=Luftmenge!H25,Luftmenge!B25,IF('Ang. Absauganlage'!N15&lt;=Luftmenge!H26,Luftmenge!B26,IF('Ang. Absauganlage'!N15&lt;=Luftmenge!H27,Luftmenge!B27,Luftmenge!B36))))))))))))))))))</f>
        <v>0</v>
      </c>
      <c r="L15" s="120">
        <v>20</v>
      </c>
      <c r="M15" s="124" t="s">
        <v>11</v>
      </c>
      <c r="N15" s="125">
        <f t="shared" si="1"/>
        <v>0</v>
      </c>
      <c r="O15" s="126" t="s">
        <v>12</v>
      </c>
      <c r="P15" s="251"/>
      <c r="Q15" s="252" t="s">
        <v>13</v>
      </c>
      <c r="R15" s="121">
        <v>0</v>
      </c>
      <c r="S15" s="130">
        <f t="shared" si="0"/>
        <v>0</v>
      </c>
      <c r="T15" s="126" t="s">
        <v>12</v>
      </c>
      <c r="U15" s="261"/>
    </row>
    <row r="16" spans="2:21" x14ac:dyDescent="0.3">
      <c r="B16" s="40">
        <v>5</v>
      </c>
      <c r="C16" s="282"/>
      <c r="D16" s="283"/>
      <c r="E16" s="117"/>
      <c r="F16" s="118"/>
      <c r="G16" s="118"/>
      <c r="H16" s="118"/>
      <c r="I16" s="118"/>
      <c r="J16" s="118"/>
      <c r="K16" s="122">
        <f>IF(N16=0,0,IF(N16&gt;0,IF(N16&lt;=Luftmenge!H8,Luftmenge!B8,IF('Ang. Absauganlage'!N16&lt;=Luftmenge!H10,Luftmenge!B10,IF('Ang. Absauganlage'!N16&lt;=Luftmenge!H11,Luftmenge!B11,IF('Ang. Absauganlage'!N16&lt;=Luftmenge!H14,Luftmenge!B14,IF('Ang. Absauganlage'!N16&lt;=Luftmenge!H16,Luftmenge!B16,IF('Ang. Absauganlage'!N16&lt;=Luftmenge!H17,Luftmenge!B17,IF('Ang. Absauganlage'!N16&lt;=Luftmenge!H18,Luftmenge!B18,IF('Ang. Absauganlage'!N16&lt;=Luftmenge!H19,Luftmenge!B19,IF('Ang. Absauganlage'!N16&lt;=Luftmenge!H20,Luftmenge!B20,IF('Ang. Absauganlage'!N16&lt;=Luftmenge!H21,Luftmenge!B21,IF('Ang. Absauganlage'!N16&lt;=Luftmenge!H22,Luftmenge!B22,IF('Ang. Absauganlage'!N16&lt;=Luftmenge!H23,Luftmenge!B23,IF('Ang. Absauganlage'!N16&lt;=Luftmenge!H24,Luftmenge!B24,IF('Ang. Absauganlage'!N16&lt;=Luftmenge!H25,Luftmenge!B25,IF('Ang. Absauganlage'!N16&lt;=Luftmenge!H26,Luftmenge!B26,IF('Ang. Absauganlage'!N16&lt;=Luftmenge!H27,Luftmenge!B27,Luftmenge!B36))))))))))))))))))</f>
        <v>0</v>
      </c>
      <c r="L16" s="120">
        <v>20</v>
      </c>
      <c r="M16" s="124" t="s">
        <v>11</v>
      </c>
      <c r="N16" s="125">
        <f t="shared" si="1"/>
        <v>0</v>
      </c>
      <c r="O16" s="126" t="s">
        <v>12</v>
      </c>
      <c r="P16" s="251"/>
      <c r="Q16" s="252" t="s">
        <v>13</v>
      </c>
      <c r="R16" s="121">
        <v>0</v>
      </c>
      <c r="S16" s="130">
        <f t="shared" si="0"/>
        <v>0</v>
      </c>
      <c r="T16" s="126" t="s">
        <v>12</v>
      </c>
      <c r="U16" s="261"/>
    </row>
    <row r="17" spans="2:21" x14ac:dyDescent="0.3">
      <c r="B17" s="40">
        <v>6</v>
      </c>
      <c r="C17" s="282"/>
      <c r="D17" s="283"/>
      <c r="E17" s="117"/>
      <c r="F17" s="118"/>
      <c r="G17" s="118"/>
      <c r="H17" s="118"/>
      <c r="I17" s="118"/>
      <c r="J17" s="118"/>
      <c r="K17" s="122">
        <f>IF(N17=0,0,IF(N17&gt;0,IF(N17&lt;=Luftmenge!H8,Luftmenge!B8,IF('Ang. Absauganlage'!N17&lt;=Luftmenge!H10,Luftmenge!B10,IF('Ang. Absauganlage'!N17&lt;=Luftmenge!H11,Luftmenge!B11,IF('Ang. Absauganlage'!N17&lt;=Luftmenge!H14,Luftmenge!B14,IF('Ang. Absauganlage'!N17&lt;=Luftmenge!H16,Luftmenge!B16,IF('Ang. Absauganlage'!N17&lt;=Luftmenge!H17,Luftmenge!B17,IF('Ang. Absauganlage'!N17&lt;=Luftmenge!H18,Luftmenge!B18,IF('Ang. Absauganlage'!N17&lt;=Luftmenge!H19,Luftmenge!B19,IF('Ang. Absauganlage'!N17&lt;=Luftmenge!H20,Luftmenge!B20,IF('Ang. Absauganlage'!N17&lt;=Luftmenge!H21,Luftmenge!B21,IF('Ang. Absauganlage'!N17&lt;=Luftmenge!H22,Luftmenge!B22,IF('Ang. Absauganlage'!N17&lt;=Luftmenge!H23,Luftmenge!B23,IF('Ang. Absauganlage'!N17&lt;=Luftmenge!H24,Luftmenge!B24,IF('Ang. Absauganlage'!N17&lt;=Luftmenge!H25,Luftmenge!B25,IF('Ang. Absauganlage'!N17&lt;=Luftmenge!H26,Luftmenge!B26,IF('Ang. Absauganlage'!N17&lt;=Luftmenge!H27,Luftmenge!B27,Luftmenge!B36))))))))))))))))))</f>
        <v>0</v>
      </c>
      <c r="L17" s="120">
        <v>20</v>
      </c>
      <c r="M17" s="124" t="s">
        <v>11</v>
      </c>
      <c r="N17" s="125">
        <f t="shared" si="1"/>
        <v>0</v>
      </c>
      <c r="O17" s="126" t="s">
        <v>12</v>
      </c>
      <c r="P17" s="251"/>
      <c r="Q17" s="252" t="s">
        <v>13</v>
      </c>
      <c r="R17" s="121">
        <v>0</v>
      </c>
      <c r="S17" s="130">
        <f t="shared" si="0"/>
        <v>0</v>
      </c>
      <c r="T17" s="126" t="s">
        <v>12</v>
      </c>
      <c r="U17" s="261"/>
    </row>
    <row r="18" spans="2:21" x14ac:dyDescent="0.3">
      <c r="B18" s="40">
        <v>7</v>
      </c>
      <c r="C18" s="282"/>
      <c r="D18" s="283"/>
      <c r="E18" s="117"/>
      <c r="F18" s="118"/>
      <c r="G18" s="118"/>
      <c r="H18" s="118"/>
      <c r="I18" s="118"/>
      <c r="J18" s="118"/>
      <c r="K18" s="122">
        <f>IF(N18=0,0,IF(N18&gt;0,IF(N18&lt;=Luftmenge!H8,Luftmenge!B8,IF('Ang. Absauganlage'!N18&lt;=Luftmenge!H10,Luftmenge!B10,IF('Ang. Absauganlage'!N18&lt;=Luftmenge!H11,Luftmenge!B11,IF('Ang. Absauganlage'!N18&lt;=Luftmenge!H14,Luftmenge!B14,IF('Ang. Absauganlage'!N18&lt;=Luftmenge!H16,Luftmenge!B16,IF('Ang. Absauganlage'!N18&lt;=Luftmenge!H17,Luftmenge!B17,IF('Ang. Absauganlage'!N18&lt;=Luftmenge!H18,Luftmenge!B18,IF('Ang. Absauganlage'!N18&lt;=Luftmenge!H19,Luftmenge!B19,IF('Ang. Absauganlage'!N18&lt;=Luftmenge!H20,Luftmenge!B20,IF('Ang. Absauganlage'!N18&lt;=Luftmenge!H21,Luftmenge!B21,IF('Ang. Absauganlage'!N18&lt;=Luftmenge!H22,Luftmenge!B22,IF('Ang. Absauganlage'!N18&lt;=Luftmenge!H23,Luftmenge!B23,IF('Ang. Absauganlage'!N18&lt;=Luftmenge!H24,Luftmenge!B24,IF('Ang. Absauganlage'!N18&lt;=Luftmenge!H25,Luftmenge!B25,IF('Ang. Absauganlage'!N18&lt;=Luftmenge!H26,Luftmenge!B26,IF('Ang. Absauganlage'!N18&lt;=Luftmenge!H27,Luftmenge!B27,Luftmenge!B36))))))))))))))))))</f>
        <v>0</v>
      </c>
      <c r="L18" s="120">
        <v>20</v>
      </c>
      <c r="M18" s="124" t="s">
        <v>11</v>
      </c>
      <c r="N18" s="125">
        <f t="shared" si="1"/>
        <v>0</v>
      </c>
      <c r="O18" s="126" t="s">
        <v>12</v>
      </c>
      <c r="P18" s="251"/>
      <c r="Q18" s="252" t="s">
        <v>13</v>
      </c>
      <c r="R18" s="121">
        <v>0</v>
      </c>
      <c r="S18" s="130">
        <f t="shared" si="0"/>
        <v>0</v>
      </c>
      <c r="T18" s="126" t="s">
        <v>12</v>
      </c>
      <c r="U18" s="261"/>
    </row>
    <row r="19" spans="2:21" x14ac:dyDescent="0.3">
      <c r="B19" s="40">
        <v>8</v>
      </c>
      <c r="C19" s="282"/>
      <c r="D19" s="283"/>
      <c r="E19" s="117"/>
      <c r="F19" s="118"/>
      <c r="G19" s="118"/>
      <c r="H19" s="118"/>
      <c r="I19" s="118"/>
      <c r="J19" s="118"/>
      <c r="K19" s="122">
        <f>IF(N19=0,0,IF(N19&gt;0,IF(N19&lt;=Luftmenge!H8,Luftmenge!B8,IF('Ang. Absauganlage'!N19&lt;=Luftmenge!H10,Luftmenge!B10,IF('Ang. Absauganlage'!N19&lt;=Luftmenge!H11,Luftmenge!B11,IF('Ang. Absauganlage'!N19&lt;=Luftmenge!H14,Luftmenge!B14,IF('Ang. Absauganlage'!N19&lt;=Luftmenge!H16,Luftmenge!B16,IF('Ang. Absauganlage'!N19&lt;=Luftmenge!H17,Luftmenge!B17,IF('Ang. Absauganlage'!N19&lt;=Luftmenge!H18,Luftmenge!B18,IF('Ang. Absauganlage'!N19&lt;=Luftmenge!H19,Luftmenge!B19,IF('Ang. Absauganlage'!N19&lt;=Luftmenge!H20,Luftmenge!B20,IF('Ang. Absauganlage'!N19&lt;=Luftmenge!H21,Luftmenge!B21,IF('Ang. Absauganlage'!N19&lt;=Luftmenge!H22,Luftmenge!B22,IF('Ang. Absauganlage'!N19&lt;=Luftmenge!H23,Luftmenge!B23,IF('Ang. Absauganlage'!N19&lt;=Luftmenge!H24,Luftmenge!B24,IF('Ang. Absauganlage'!N19&lt;=Luftmenge!H25,Luftmenge!B25,IF('Ang. Absauganlage'!N19&lt;=Luftmenge!H26,Luftmenge!B26,IF('Ang. Absauganlage'!N19&lt;=Luftmenge!H27,Luftmenge!B27,Luftmenge!B36))))))))))))))))))</f>
        <v>0</v>
      </c>
      <c r="L19" s="120">
        <v>20</v>
      </c>
      <c r="M19" s="124" t="s">
        <v>11</v>
      </c>
      <c r="N19" s="125">
        <f t="shared" si="1"/>
        <v>0</v>
      </c>
      <c r="O19" s="126" t="s">
        <v>12</v>
      </c>
      <c r="P19" s="251"/>
      <c r="Q19" s="252" t="s">
        <v>13</v>
      </c>
      <c r="R19" s="121">
        <v>0</v>
      </c>
      <c r="S19" s="130">
        <f t="shared" si="0"/>
        <v>0</v>
      </c>
      <c r="T19" s="126" t="s">
        <v>12</v>
      </c>
      <c r="U19" s="261"/>
    </row>
    <row r="20" spans="2:21" x14ac:dyDescent="0.3">
      <c r="B20" s="40">
        <v>9</v>
      </c>
      <c r="C20" s="282"/>
      <c r="D20" s="283"/>
      <c r="E20" s="117"/>
      <c r="F20" s="118"/>
      <c r="G20" s="118"/>
      <c r="H20" s="118"/>
      <c r="I20" s="118"/>
      <c r="J20" s="118"/>
      <c r="K20" s="122">
        <f>IF(N20=0,0,IF(N20&gt;0,IF(N20&lt;=Luftmenge!H8,Luftmenge!B8,IF('Ang. Absauganlage'!N20&lt;=Luftmenge!H10,Luftmenge!B10,IF('Ang. Absauganlage'!N20&lt;=Luftmenge!H11,Luftmenge!B11,IF('Ang. Absauganlage'!N20&lt;=Luftmenge!H14,Luftmenge!B14,IF('Ang. Absauganlage'!N20&lt;=Luftmenge!H16,Luftmenge!B16,IF('Ang. Absauganlage'!N20&lt;=Luftmenge!H17,Luftmenge!B17,IF('Ang. Absauganlage'!N20&lt;=Luftmenge!H18,Luftmenge!B18,IF('Ang. Absauganlage'!N20&lt;=Luftmenge!H19,Luftmenge!B19,IF('Ang. Absauganlage'!N20&lt;=Luftmenge!H20,Luftmenge!B20,IF('Ang. Absauganlage'!N20&lt;=Luftmenge!H21,Luftmenge!B21,IF('Ang. Absauganlage'!N20&lt;=Luftmenge!H22,Luftmenge!B22,IF('Ang. Absauganlage'!N20&lt;=Luftmenge!H23,Luftmenge!B23,IF('Ang. Absauganlage'!N20&lt;=Luftmenge!H24,Luftmenge!B24,IF('Ang. Absauganlage'!N20&lt;=Luftmenge!H25,Luftmenge!B25,IF('Ang. Absauganlage'!N20&lt;=Luftmenge!H26,Luftmenge!B26,IF('Ang. Absauganlage'!N20&lt;=Luftmenge!H27,Luftmenge!B27,Luftmenge!B36))))))))))))))))))</f>
        <v>0</v>
      </c>
      <c r="L20" s="120">
        <v>20</v>
      </c>
      <c r="M20" s="124" t="s">
        <v>11</v>
      </c>
      <c r="N20" s="125">
        <f t="shared" si="1"/>
        <v>0</v>
      </c>
      <c r="O20" s="126" t="s">
        <v>12</v>
      </c>
      <c r="P20" s="251"/>
      <c r="Q20" s="252" t="s">
        <v>13</v>
      </c>
      <c r="R20" s="121">
        <v>0</v>
      </c>
      <c r="S20" s="130">
        <f t="shared" si="0"/>
        <v>0</v>
      </c>
      <c r="T20" s="126" t="s">
        <v>12</v>
      </c>
      <c r="U20" s="261"/>
    </row>
    <row r="21" spans="2:21" x14ac:dyDescent="0.3">
      <c r="B21" s="40">
        <v>10</v>
      </c>
      <c r="C21" s="282"/>
      <c r="D21" s="283"/>
      <c r="E21" s="117"/>
      <c r="F21" s="118"/>
      <c r="G21" s="118"/>
      <c r="H21" s="118"/>
      <c r="I21" s="118"/>
      <c r="J21" s="118"/>
      <c r="K21" s="122">
        <f>IF(N21=0,0,IF(N21&gt;0,IF(N21&lt;=Luftmenge!H8,Luftmenge!B8,IF('Ang. Absauganlage'!N21&lt;=Luftmenge!H10,Luftmenge!B10,IF('Ang. Absauganlage'!N21&lt;=Luftmenge!H11,Luftmenge!B11,IF('Ang. Absauganlage'!N21&lt;=Luftmenge!H14,Luftmenge!B14,IF('Ang. Absauganlage'!N21&lt;=Luftmenge!H16,Luftmenge!B16,IF('Ang. Absauganlage'!N21&lt;=Luftmenge!H17,Luftmenge!B17,IF('Ang. Absauganlage'!N21&lt;=Luftmenge!H18,Luftmenge!B18,IF('Ang. Absauganlage'!N21&lt;=Luftmenge!H19,Luftmenge!B19,IF('Ang. Absauganlage'!N21&lt;=Luftmenge!H20,Luftmenge!B20,IF('Ang. Absauganlage'!N21&lt;=Luftmenge!H21,Luftmenge!B21,IF('Ang. Absauganlage'!N21&lt;=Luftmenge!H22,Luftmenge!B22,IF('Ang. Absauganlage'!N21&lt;=Luftmenge!H23,Luftmenge!B23,IF('Ang. Absauganlage'!N21&lt;=Luftmenge!H24,Luftmenge!B24,IF('Ang. Absauganlage'!N21&lt;=Luftmenge!H25,Luftmenge!B25,IF('Ang. Absauganlage'!N21&lt;=Luftmenge!H26,Luftmenge!B26,IF('Ang. Absauganlage'!N21&lt;=Luftmenge!H27,Luftmenge!B27,Luftmenge!B36))))))))))))))))))</f>
        <v>0</v>
      </c>
      <c r="L21" s="120">
        <v>20</v>
      </c>
      <c r="M21" s="124" t="s">
        <v>11</v>
      </c>
      <c r="N21" s="125">
        <f t="shared" si="1"/>
        <v>0</v>
      </c>
      <c r="O21" s="126" t="s">
        <v>12</v>
      </c>
      <c r="P21" s="251"/>
      <c r="Q21" s="252" t="s">
        <v>13</v>
      </c>
      <c r="R21" s="121">
        <v>0</v>
      </c>
      <c r="S21" s="130">
        <f t="shared" si="0"/>
        <v>0</v>
      </c>
      <c r="T21" s="126" t="s">
        <v>12</v>
      </c>
      <c r="U21" s="261"/>
    </row>
    <row r="22" spans="2:21" x14ac:dyDescent="0.3">
      <c r="B22" s="40">
        <v>11</v>
      </c>
      <c r="C22" s="282"/>
      <c r="D22" s="283"/>
      <c r="E22" s="117"/>
      <c r="F22" s="118"/>
      <c r="G22" s="118"/>
      <c r="H22" s="118"/>
      <c r="I22" s="118"/>
      <c r="J22" s="119"/>
      <c r="K22" s="123">
        <f>IF(N22=0,0,IF(N22&gt;0,IF(N22&lt;=Luftmenge!H8,Luftmenge!B8,IF('Ang. Absauganlage'!N22&lt;=Luftmenge!H10,Luftmenge!B10,IF('Ang. Absauganlage'!N22&lt;=Luftmenge!H11,Luftmenge!B11,IF('Ang. Absauganlage'!N22&lt;=Luftmenge!H14,Luftmenge!B14,IF('Ang. Absauganlage'!N22&lt;=Luftmenge!H16,Luftmenge!B16,IF('Ang. Absauganlage'!N22&lt;=Luftmenge!H17,Luftmenge!B17,IF('Ang. Absauganlage'!N22&lt;=Luftmenge!H18,Luftmenge!B18,IF('Ang. Absauganlage'!N22&lt;=Luftmenge!H19,Luftmenge!B19,IF('Ang. Absauganlage'!N22&lt;=Luftmenge!H20,Luftmenge!B20,IF('Ang. Absauganlage'!N22&lt;=Luftmenge!H21,Luftmenge!B21,IF('Ang. Absauganlage'!N22&lt;=Luftmenge!H22,Luftmenge!B22,IF('Ang. Absauganlage'!N22&lt;=Luftmenge!H23,Luftmenge!B23,IF('Ang. Absauganlage'!N22&lt;=Luftmenge!H24,Luftmenge!B24,IF('Ang. Absauganlage'!N22&lt;=Luftmenge!H25,Luftmenge!B25,IF('Ang. Absauganlage'!N22&lt;=Luftmenge!H26,Luftmenge!B26,IF('Ang. Absauganlage'!N22&lt;=Luftmenge!H27,Luftmenge!B27,Luftmenge!B36))))))))))))))))))</f>
        <v>0</v>
      </c>
      <c r="L22" s="120">
        <v>20</v>
      </c>
      <c r="M22" s="124" t="s">
        <v>11</v>
      </c>
      <c r="N22" s="125">
        <f t="shared" si="1"/>
        <v>0</v>
      </c>
      <c r="O22" s="126" t="s">
        <v>12</v>
      </c>
      <c r="P22" s="251"/>
      <c r="Q22" s="252" t="s">
        <v>13</v>
      </c>
      <c r="R22" s="121">
        <v>0</v>
      </c>
      <c r="S22" s="130">
        <f t="shared" si="0"/>
        <v>0</v>
      </c>
      <c r="T22" s="126" t="s">
        <v>12</v>
      </c>
      <c r="U22" s="261"/>
    </row>
    <row r="23" spans="2:21" x14ac:dyDescent="0.3">
      <c r="B23" s="40">
        <v>12</v>
      </c>
      <c r="C23" s="282"/>
      <c r="D23" s="283"/>
      <c r="E23" s="117"/>
      <c r="F23" s="118"/>
      <c r="G23" s="118"/>
      <c r="H23" s="118"/>
      <c r="I23" s="118"/>
      <c r="J23" s="119"/>
      <c r="K23" s="123">
        <f>IF(N23=0,0,IF(N23&gt;0,IF(N23&lt;=Luftmenge!H8,Luftmenge!B8,IF('Ang. Absauganlage'!N23&lt;=Luftmenge!H10,Luftmenge!B10,IF('Ang. Absauganlage'!N23&lt;=Luftmenge!H11,Luftmenge!B11,IF('Ang. Absauganlage'!N23&lt;=Luftmenge!H14,Luftmenge!B14,IF('Ang. Absauganlage'!N23&lt;=Luftmenge!H16,Luftmenge!B16,IF('Ang. Absauganlage'!N23&lt;=Luftmenge!H17,Luftmenge!B17,IF('Ang. Absauganlage'!N23&lt;=Luftmenge!H18,Luftmenge!B18,IF('Ang. Absauganlage'!N23&lt;=Luftmenge!H19,Luftmenge!B19,IF('Ang. Absauganlage'!N23&lt;=Luftmenge!H20,Luftmenge!B20,IF('Ang. Absauganlage'!N23&lt;=Luftmenge!H21,Luftmenge!B21,IF('Ang. Absauganlage'!N23&lt;=Luftmenge!H22,Luftmenge!B22,IF('Ang. Absauganlage'!N23&lt;=Luftmenge!H23,Luftmenge!B23,IF('Ang. Absauganlage'!N23&lt;=Luftmenge!H24,Luftmenge!B24,IF('Ang. Absauganlage'!N23&lt;=Luftmenge!H25,Luftmenge!B25,IF('Ang. Absauganlage'!N23&lt;=Luftmenge!H26,Luftmenge!B26,IF('Ang. Absauganlage'!N23&lt;=Luftmenge!H27,Luftmenge!B27,Luftmenge!B36))))))))))))))))))</f>
        <v>0</v>
      </c>
      <c r="L23" s="120">
        <v>20</v>
      </c>
      <c r="M23" s="124" t="s">
        <v>11</v>
      </c>
      <c r="N23" s="125">
        <f t="shared" si="1"/>
        <v>0</v>
      </c>
      <c r="O23" s="126" t="s">
        <v>12</v>
      </c>
      <c r="P23" s="251"/>
      <c r="Q23" s="252" t="s">
        <v>13</v>
      </c>
      <c r="R23" s="121">
        <v>0</v>
      </c>
      <c r="S23" s="130">
        <f t="shared" si="0"/>
        <v>0</v>
      </c>
      <c r="T23" s="126" t="s">
        <v>12</v>
      </c>
      <c r="U23" s="261"/>
    </row>
    <row r="24" spans="2:21" x14ac:dyDescent="0.3">
      <c r="B24" s="40">
        <v>13</v>
      </c>
      <c r="C24" s="282"/>
      <c r="D24" s="283"/>
      <c r="E24" s="117"/>
      <c r="F24" s="118"/>
      <c r="G24" s="118"/>
      <c r="H24" s="118"/>
      <c r="I24" s="118"/>
      <c r="J24" s="119"/>
      <c r="K24" s="123">
        <f>IF(N24=0,0,IF(N24&gt;0,IF(N24&lt;=Luftmenge!H8,Luftmenge!B8,IF('Ang. Absauganlage'!N24&lt;=Luftmenge!H10,Luftmenge!B10,IF('Ang. Absauganlage'!N24&lt;=Luftmenge!H11,Luftmenge!B11,IF('Ang. Absauganlage'!N24&lt;=Luftmenge!H14,Luftmenge!B14,IF('Ang. Absauganlage'!N24&lt;=Luftmenge!H16,Luftmenge!B16,IF('Ang. Absauganlage'!N24&lt;=Luftmenge!H17,Luftmenge!B17,IF('Ang. Absauganlage'!N24&lt;=Luftmenge!H18,Luftmenge!B18,IF('Ang. Absauganlage'!N24&lt;=Luftmenge!H19,Luftmenge!B19,IF('Ang. Absauganlage'!N24&lt;=Luftmenge!H20,Luftmenge!B20,IF('Ang. Absauganlage'!N24&lt;=Luftmenge!H21,Luftmenge!B21,IF('Ang. Absauganlage'!N24&lt;=Luftmenge!H22,Luftmenge!B22,IF('Ang. Absauganlage'!N24&lt;=Luftmenge!H23,Luftmenge!B23,IF('Ang. Absauganlage'!N24&lt;=Luftmenge!H24,Luftmenge!B24,IF('Ang. Absauganlage'!N24&lt;=Luftmenge!H25,Luftmenge!B25,IF('Ang. Absauganlage'!N24&lt;=Luftmenge!H26,Luftmenge!B26,IF('Ang. Absauganlage'!N24&lt;=Luftmenge!H27,Luftmenge!B27,Luftmenge!B36))))))))))))))))))</f>
        <v>0</v>
      </c>
      <c r="L24" s="120">
        <v>20</v>
      </c>
      <c r="M24" s="124" t="s">
        <v>11</v>
      </c>
      <c r="N24" s="125">
        <f t="shared" si="1"/>
        <v>0</v>
      </c>
      <c r="O24" s="126" t="s">
        <v>12</v>
      </c>
      <c r="P24" s="251"/>
      <c r="Q24" s="252" t="s">
        <v>13</v>
      </c>
      <c r="R24" s="121">
        <v>0</v>
      </c>
      <c r="S24" s="130">
        <f t="shared" si="0"/>
        <v>0</v>
      </c>
      <c r="T24" s="126" t="s">
        <v>12</v>
      </c>
      <c r="U24" s="261"/>
    </row>
    <row r="25" spans="2:21" x14ac:dyDescent="0.3">
      <c r="B25" s="40">
        <v>14</v>
      </c>
      <c r="C25" s="282"/>
      <c r="D25" s="283"/>
      <c r="E25" s="117"/>
      <c r="F25" s="118"/>
      <c r="G25" s="118"/>
      <c r="H25" s="118"/>
      <c r="I25" s="118"/>
      <c r="J25" s="119"/>
      <c r="K25" s="123">
        <f>IF(N25=0,0,IF(N25&gt;0,IF(N25&lt;=Luftmenge!H8,Luftmenge!B8,IF('Ang. Absauganlage'!N25&lt;=Luftmenge!H10,Luftmenge!B10,IF('Ang. Absauganlage'!N25&lt;=Luftmenge!H11,Luftmenge!B11,IF('Ang. Absauganlage'!N25&lt;=Luftmenge!H14,Luftmenge!B14,IF('Ang. Absauganlage'!N25&lt;=Luftmenge!H16,Luftmenge!B16,IF('Ang. Absauganlage'!N25&lt;=Luftmenge!H17,Luftmenge!B17,IF('Ang. Absauganlage'!N25&lt;=Luftmenge!H18,Luftmenge!B18,IF('Ang. Absauganlage'!N25&lt;=Luftmenge!H19,Luftmenge!B19,IF('Ang. Absauganlage'!N25&lt;=Luftmenge!H20,Luftmenge!B20,IF('Ang. Absauganlage'!N25&lt;=Luftmenge!H21,Luftmenge!B21,IF('Ang. Absauganlage'!N25&lt;=Luftmenge!H22,Luftmenge!B22,IF('Ang. Absauganlage'!N25&lt;=Luftmenge!H23,Luftmenge!B23,IF('Ang. Absauganlage'!N25&lt;=Luftmenge!H24,Luftmenge!B24,IF('Ang. Absauganlage'!N25&lt;=Luftmenge!H25,Luftmenge!B25,IF('Ang. Absauganlage'!N25&lt;=Luftmenge!H26,Luftmenge!B26,IF('Ang. Absauganlage'!N25&lt;=Luftmenge!H27,Luftmenge!B27,Luftmenge!B36))))))))))))))))))</f>
        <v>0</v>
      </c>
      <c r="L25" s="120">
        <v>20</v>
      </c>
      <c r="M25" s="124" t="s">
        <v>11</v>
      </c>
      <c r="N25" s="125">
        <f t="shared" si="1"/>
        <v>0</v>
      </c>
      <c r="O25" s="126" t="s">
        <v>12</v>
      </c>
      <c r="P25" s="251"/>
      <c r="Q25" s="252" t="s">
        <v>13</v>
      </c>
      <c r="R25" s="121">
        <v>0</v>
      </c>
      <c r="S25" s="130">
        <f t="shared" si="0"/>
        <v>0</v>
      </c>
      <c r="T25" s="126" t="s">
        <v>12</v>
      </c>
      <c r="U25" s="261"/>
    </row>
    <row r="26" spans="2:21" x14ac:dyDescent="0.3">
      <c r="B26" s="40">
        <v>15</v>
      </c>
      <c r="C26" s="282"/>
      <c r="D26" s="283"/>
      <c r="E26" s="117"/>
      <c r="F26" s="118"/>
      <c r="G26" s="118"/>
      <c r="H26" s="118"/>
      <c r="I26" s="118"/>
      <c r="J26" s="119"/>
      <c r="K26" s="123">
        <f>IF(N26=0,0,IF(N26&gt;0,IF(N26&lt;=Luftmenge!H8,Luftmenge!B8,IF('Ang. Absauganlage'!N26&lt;=Luftmenge!H10,Luftmenge!B10,IF('Ang. Absauganlage'!N26&lt;=Luftmenge!H11,Luftmenge!B11,IF('Ang. Absauganlage'!N26&lt;=Luftmenge!H14,Luftmenge!B14,IF('Ang. Absauganlage'!N26&lt;=Luftmenge!H16,Luftmenge!B16,IF('Ang. Absauganlage'!N26&lt;=Luftmenge!H17,Luftmenge!B17,IF('Ang. Absauganlage'!N26&lt;=Luftmenge!H18,Luftmenge!B18,IF('Ang. Absauganlage'!N26&lt;=Luftmenge!H19,Luftmenge!B19,IF('Ang. Absauganlage'!N26&lt;=Luftmenge!H20,Luftmenge!B20,IF('Ang. Absauganlage'!N26&lt;=Luftmenge!H21,Luftmenge!B21,IF('Ang. Absauganlage'!N26&lt;=Luftmenge!H22,Luftmenge!B22,IF('Ang. Absauganlage'!N26&lt;=Luftmenge!H23,Luftmenge!B23,IF('Ang. Absauganlage'!N26&lt;=Luftmenge!H24,Luftmenge!B24,IF('Ang. Absauganlage'!N26&lt;=Luftmenge!H25,Luftmenge!B25,IF('Ang. Absauganlage'!N26&lt;=Luftmenge!H26,Luftmenge!B26,IF('Ang. Absauganlage'!N26&lt;=Luftmenge!H27,Luftmenge!B27,Luftmenge!B36))))))))))))))))))</f>
        <v>0</v>
      </c>
      <c r="L26" s="120">
        <v>20</v>
      </c>
      <c r="M26" s="124" t="s">
        <v>11</v>
      </c>
      <c r="N26" s="125">
        <f t="shared" si="1"/>
        <v>0</v>
      </c>
      <c r="O26" s="126" t="s">
        <v>12</v>
      </c>
      <c r="P26" s="251"/>
      <c r="Q26" s="252" t="s">
        <v>13</v>
      </c>
      <c r="R26" s="121">
        <v>0</v>
      </c>
      <c r="S26" s="130">
        <f t="shared" si="0"/>
        <v>0</v>
      </c>
      <c r="T26" s="126" t="s">
        <v>12</v>
      </c>
      <c r="U26" s="261"/>
    </row>
    <row r="27" spans="2:21" x14ac:dyDescent="0.3">
      <c r="L27" s="127" t="s">
        <v>18</v>
      </c>
      <c r="M27" s="127"/>
      <c r="N27" s="128">
        <f>SUM(N12:N26)</f>
        <v>0</v>
      </c>
      <c r="O27" s="129" t="s">
        <v>12</v>
      </c>
      <c r="P27" s="253"/>
      <c r="Q27" s="254"/>
      <c r="R27" s="41"/>
      <c r="S27" s="128">
        <f>SUM(S12:S26)</f>
        <v>0</v>
      </c>
      <c r="T27" s="131" t="s">
        <v>12</v>
      </c>
    </row>
    <row r="28" spans="2:21" x14ac:dyDescent="0.3">
      <c r="C28" s="43" t="s">
        <v>73</v>
      </c>
    </row>
    <row r="29" spans="2:21" x14ac:dyDescent="0.3">
      <c r="C29" s="43" t="s">
        <v>19</v>
      </c>
    </row>
    <row r="30" spans="2:21" x14ac:dyDescent="0.3">
      <c r="C30" s="43" t="s">
        <v>20</v>
      </c>
    </row>
    <row r="31" spans="2:21" x14ac:dyDescent="0.3">
      <c r="C31" s="43" t="s">
        <v>21</v>
      </c>
    </row>
    <row r="32" spans="2:21" ht="17.25" thickBot="1" x14ac:dyDescent="0.35">
      <c r="C32" s="43" t="s">
        <v>22</v>
      </c>
    </row>
    <row r="33" spans="3:19" ht="17.25" thickBot="1" x14ac:dyDescent="0.35">
      <c r="L33" s="244" t="s">
        <v>63</v>
      </c>
      <c r="M33" s="245"/>
      <c r="N33" s="245"/>
      <c r="O33" s="245"/>
      <c r="P33" s="255"/>
    </row>
    <row r="34" spans="3:19" x14ac:dyDescent="0.3">
      <c r="C34" s="9" t="s">
        <v>24</v>
      </c>
      <c r="F34" s="284">
        <f>S27</f>
        <v>0</v>
      </c>
      <c r="G34" s="285"/>
      <c r="H34" s="241" t="s">
        <v>12</v>
      </c>
      <c r="L34" s="246" t="s">
        <v>64</v>
      </c>
      <c r="M34" s="247"/>
      <c r="N34" s="247"/>
      <c r="O34" s="247"/>
      <c r="P34" s="256"/>
    </row>
    <row r="35" spans="3:19" ht="17.25" thickBot="1" x14ac:dyDescent="0.35">
      <c r="C35" s="9" t="s">
        <v>25</v>
      </c>
      <c r="F35" s="286"/>
      <c r="G35" s="287"/>
      <c r="H35" s="242" t="s">
        <v>13</v>
      </c>
      <c r="L35" s="248">
        <f>IF(F34=0,0,IF(F34&lt;=D39,C39,IF(F34&lt;=D40,C40,IF(F34&lt;=D41,C41,IF(F34&lt;=D42,C42,IF(F34&lt;=D43,C43,IF(F34&lt;=D44,C44,IF(F34&lt;=D45,C45,IF(F34&lt;=D46,C46,IF(F34&lt;=D47,C47))))))))))</f>
        <v>0</v>
      </c>
      <c r="M35" s="249"/>
      <c r="N35" s="249"/>
      <c r="O35" s="249"/>
      <c r="P35" s="257"/>
    </row>
    <row r="37" spans="3:19" ht="17.25" thickBot="1" x14ac:dyDescent="0.35"/>
    <row r="38" spans="3:19" ht="15.4" customHeight="1" thickBot="1" x14ac:dyDescent="0.35">
      <c r="C38" s="5" t="s">
        <v>26</v>
      </c>
      <c r="D38" s="6" t="s">
        <v>44</v>
      </c>
      <c r="E38" s="7"/>
      <c r="F38" s="6" t="s">
        <v>27</v>
      </c>
      <c r="G38" s="7"/>
      <c r="H38" s="8"/>
      <c r="L38" s="37" t="s">
        <v>286</v>
      </c>
      <c r="P38" s="258"/>
    </row>
    <row r="39" spans="3:19" ht="15.4" customHeight="1" x14ac:dyDescent="0.3">
      <c r="C39" s="10" t="s">
        <v>65</v>
      </c>
      <c r="D39" s="11">
        <v>790</v>
      </c>
      <c r="E39" s="11" t="s">
        <v>12</v>
      </c>
      <c r="F39" s="280">
        <v>2118</v>
      </c>
      <c r="G39" s="281"/>
      <c r="H39" s="12" t="s">
        <v>13</v>
      </c>
      <c r="L39" s="37" t="s">
        <v>287</v>
      </c>
      <c r="P39" s="258"/>
    </row>
    <row r="40" spans="3:19" ht="15.4" customHeight="1" x14ac:dyDescent="0.3">
      <c r="C40" s="13" t="s">
        <v>66</v>
      </c>
      <c r="D40" s="14">
        <v>814</v>
      </c>
      <c r="E40" s="15" t="s">
        <v>12</v>
      </c>
      <c r="F40" s="268">
        <v>2180</v>
      </c>
      <c r="G40" s="267"/>
      <c r="H40" s="16" t="s">
        <v>13</v>
      </c>
      <c r="L40" s="37"/>
      <c r="P40" s="37"/>
      <c r="Q40" s="37"/>
    </row>
    <row r="41" spans="3:19" ht="15.4" customHeight="1" x14ac:dyDescent="0.3">
      <c r="C41" s="13" t="s">
        <v>67</v>
      </c>
      <c r="D41" s="14">
        <v>1108</v>
      </c>
      <c r="E41" s="15" t="s">
        <v>12</v>
      </c>
      <c r="F41" s="268">
        <v>2591</v>
      </c>
      <c r="G41" s="267"/>
      <c r="H41" s="16" t="s">
        <v>13</v>
      </c>
    </row>
    <row r="42" spans="3:19" ht="15.4" customHeight="1" x14ac:dyDescent="0.3">
      <c r="C42" s="13" t="s">
        <v>68</v>
      </c>
      <c r="D42" s="14">
        <v>1448</v>
      </c>
      <c r="E42" s="15" t="s">
        <v>12</v>
      </c>
      <c r="F42" s="268">
        <v>2503</v>
      </c>
      <c r="G42" s="267"/>
      <c r="H42" s="16" t="s">
        <v>13</v>
      </c>
    </row>
    <row r="43" spans="3:19" ht="15.4" customHeight="1" x14ac:dyDescent="0.3">
      <c r="C43" s="13" t="s">
        <v>69</v>
      </c>
      <c r="D43" s="14">
        <v>2262</v>
      </c>
      <c r="E43" s="15" t="s">
        <v>12</v>
      </c>
      <c r="F43" s="268">
        <v>2174</v>
      </c>
      <c r="G43" s="267"/>
      <c r="H43" s="16" t="s">
        <v>13</v>
      </c>
    </row>
    <row r="44" spans="3:19" ht="15.4" customHeight="1" x14ac:dyDescent="0.3">
      <c r="C44" s="13" t="s">
        <v>70</v>
      </c>
      <c r="D44" s="14">
        <v>3534</v>
      </c>
      <c r="E44" s="15" t="s">
        <v>12</v>
      </c>
      <c r="F44" s="268">
        <v>2451</v>
      </c>
      <c r="G44" s="267"/>
      <c r="H44" s="16" t="s">
        <v>13</v>
      </c>
      <c r="J44" s="17" t="s">
        <v>90</v>
      </c>
    </row>
    <row r="45" spans="3:19" ht="15.4" customHeight="1" x14ac:dyDescent="0.3">
      <c r="C45" s="13" t="s">
        <v>71</v>
      </c>
      <c r="D45" s="14">
        <v>5089</v>
      </c>
      <c r="E45" s="15" t="s">
        <v>12</v>
      </c>
      <c r="F45" s="268">
        <v>2434</v>
      </c>
      <c r="G45" s="267"/>
      <c r="H45" s="16" t="s">
        <v>13</v>
      </c>
      <c r="J45" s="17" t="s">
        <v>301</v>
      </c>
      <c r="K45" s="18"/>
      <c r="L45" s="18"/>
      <c r="M45" s="18"/>
      <c r="N45" s="18"/>
      <c r="O45" s="18"/>
      <c r="P45" s="18"/>
      <c r="Q45" s="18"/>
      <c r="R45" s="18"/>
      <c r="S45" s="18"/>
    </row>
    <row r="46" spans="3:19" ht="15.4" customHeight="1" x14ac:dyDescent="0.3">
      <c r="C46" s="13" t="s">
        <v>280</v>
      </c>
      <c r="D46" s="14">
        <v>6927</v>
      </c>
      <c r="E46" s="15" t="s">
        <v>12</v>
      </c>
      <c r="F46" s="268">
        <v>2765</v>
      </c>
      <c r="G46" s="267"/>
      <c r="H46" s="16" t="s">
        <v>13</v>
      </c>
      <c r="J46" s="17" t="s">
        <v>300</v>
      </c>
      <c r="K46" s="19"/>
      <c r="L46" s="19"/>
      <c r="M46" s="19"/>
      <c r="N46" s="19"/>
      <c r="O46" s="19"/>
      <c r="P46" s="19"/>
      <c r="Q46" s="19"/>
      <c r="R46" s="19"/>
      <c r="S46" s="18"/>
    </row>
    <row r="47" spans="3:19" ht="15.4" customHeight="1" thickBot="1" x14ac:dyDescent="0.35">
      <c r="C47" s="20" t="s">
        <v>281</v>
      </c>
      <c r="D47" s="21">
        <v>7127</v>
      </c>
      <c r="E47" s="22" t="s">
        <v>12</v>
      </c>
      <c r="F47" s="269">
        <v>3347</v>
      </c>
      <c r="G47" s="270"/>
      <c r="H47" s="23" t="s">
        <v>13</v>
      </c>
      <c r="J47" s="17" t="s">
        <v>89</v>
      </c>
      <c r="K47" s="19"/>
      <c r="L47" s="19"/>
      <c r="M47" s="19"/>
      <c r="N47" s="19"/>
      <c r="O47" s="19"/>
      <c r="P47" s="19"/>
      <c r="Q47" s="19"/>
      <c r="R47" s="19"/>
      <c r="S47" s="18"/>
    </row>
    <row r="48" spans="3:19" ht="11.25" customHeight="1" thickBot="1" x14ac:dyDescent="0.35"/>
    <row r="49" spans="3:16" ht="15.4" customHeight="1" x14ac:dyDescent="0.3">
      <c r="C49" s="24" t="s">
        <v>28</v>
      </c>
      <c r="D49" s="273" t="s">
        <v>79</v>
      </c>
      <c r="E49" s="273"/>
      <c r="F49" s="25"/>
      <c r="G49" s="272" t="s">
        <v>80</v>
      </c>
      <c r="H49" s="272"/>
      <c r="I49" s="272"/>
      <c r="J49" s="98"/>
      <c r="K49" s="272" t="s">
        <v>81</v>
      </c>
      <c r="L49" s="272"/>
      <c r="M49" s="26"/>
      <c r="N49" s="271" t="s">
        <v>82</v>
      </c>
      <c r="O49" s="271"/>
      <c r="P49" s="259"/>
    </row>
    <row r="50" spans="3:16" ht="15.4" customHeight="1" x14ac:dyDescent="0.3">
      <c r="C50" s="228" t="s">
        <v>297</v>
      </c>
      <c r="D50" s="225">
        <v>3</v>
      </c>
      <c r="E50" s="15" t="s">
        <v>74</v>
      </c>
      <c r="F50" s="229"/>
      <c r="G50" s="265">
        <v>2200</v>
      </c>
      <c r="H50" s="266"/>
      <c r="I50" s="28" t="s">
        <v>12</v>
      </c>
      <c r="J50" s="233"/>
      <c r="K50" s="226">
        <v>2600</v>
      </c>
      <c r="L50" s="30" t="s">
        <v>13</v>
      </c>
      <c r="M50" s="237"/>
      <c r="N50" s="227">
        <v>17.3</v>
      </c>
      <c r="O50" s="15" t="s">
        <v>83</v>
      </c>
      <c r="P50" s="260"/>
    </row>
    <row r="51" spans="3:16" ht="15.4" customHeight="1" x14ac:dyDescent="0.3">
      <c r="C51" s="228" t="s">
        <v>298</v>
      </c>
      <c r="D51" s="225">
        <v>4</v>
      </c>
      <c r="E51" s="15" t="s">
        <v>74</v>
      </c>
      <c r="F51" s="230"/>
      <c r="G51" s="265">
        <v>3200</v>
      </c>
      <c r="H51" s="266"/>
      <c r="I51" s="28" t="s">
        <v>12</v>
      </c>
      <c r="J51" s="234"/>
      <c r="K51" s="226">
        <v>1900</v>
      </c>
      <c r="L51" s="30" t="s">
        <v>13</v>
      </c>
      <c r="M51" s="238"/>
      <c r="N51" s="227">
        <v>23.7</v>
      </c>
      <c r="O51" s="15" t="s">
        <v>83</v>
      </c>
      <c r="P51" s="260"/>
    </row>
    <row r="52" spans="3:16" ht="15.4" customHeight="1" x14ac:dyDescent="0.3">
      <c r="C52" s="228" t="s">
        <v>299</v>
      </c>
      <c r="D52" s="225">
        <v>4</v>
      </c>
      <c r="E52" s="15" t="s">
        <v>74</v>
      </c>
      <c r="F52" s="230"/>
      <c r="G52" s="265">
        <v>3200</v>
      </c>
      <c r="H52" s="266"/>
      <c r="I52" s="28" t="s">
        <v>12</v>
      </c>
      <c r="J52" s="234"/>
      <c r="K52" s="226">
        <v>1900</v>
      </c>
      <c r="L52" s="30" t="s">
        <v>13</v>
      </c>
      <c r="M52" s="238"/>
      <c r="N52" s="227">
        <v>29.1</v>
      </c>
      <c r="O52" s="15" t="s">
        <v>83</v>
      </c>
      <c r="P52" s="260"/>
    </row>
    <row r="53" spans="3:16" ht="15.4" customHeight="1" x14ac:dyDescent="0.3">
      <c r="C53" s="13" t="s">
        <v>29</v>
      </c>
      <c r="D53" s="27">
        <v>5.5</v>
      </c>
      <c r="E53" s="15" t="s">
        <v>74</v>
      </c>
      <c r="F53" s="231"/>
      <c r="G53" s="268">
        <v>3700</v>
      </c>
      <c r="H53" s="267"/>
      <c r="I53" s="28" t="s">
        <v>12</v>
      </c>
      <c r="J53" s="235"/>
      <c r="K53" s="29">
        <v>3500</v>
      </c>
      <c r="L53" s="30" t="s">
        <v>13</v>
      </c>
      <c r="M53" s="239"/>
      <c r="N53" s="31">
        <v>23</v>
      </c>
      <c r="O53" s="15" t="s">
        <v>83</v>
      </c>
      <c r="P53" s="260"/>
    </row>
    <row r="54" spans="3:16" ht="15.4" customHeight="1" x14ac:dyDescent="0.3">
      <c r="C54" s="13" t="s">
        <v>42</v>
      </c>
      <c r="D54" s="27">
        <v>7.5</v>
      </c>
      <c r="E54" s="15" t="s">
        <v>74</v>
      </c>
      <c r="F54" s="231"/>
      <c r="G54" s="268">
        <v>5000</v>
      </c>
      <c r="H54" s="267"/>
      <c r="I54" s="28" t="s">
        <v>12</v>
      </c>
      <c r="J54" s="236"/>
      <c r="K54" s="29">
        <v>3500</v>
      </c>
      <c r="L54" s="30" t="s">
        <v>13</v>
      </c>
      <c r="M54" s="239"/>
      <c r="N54" s="31">
        <v>31.6</v>
      </c>
      <c r="O54" s="15" t="s">
        <v>83</v>
      </c>
      <c r="P54" s="260"/>
    </row>
    <row r="55" spans="3:16" ht="15.4" customHeight="1" x14ac:dyDescent="0.3">
      <c r="C55" s="13" t="s">
        <v>32</v>
      </c>
      <c r="D55" s="27">
        <v>11</v>
      </c>
      <c r="E55" s="15" t="s">
        <v>74</v>
      </c>
      <c r="F55" s="231"/>
      <c r="G55" s="268">
        <v>6500</v>
      </c>
      <c r="H55" s="267"/>
      <c r="I55" s="28" t="s">
        <v>12</v>
      </c>
      <c r="J55" s="236"/>
      <c r="K55" s="29">
        <v>3300</v>
      </c>
      <c r="L55" s="30" t="s">
        <v>13</v>
      </c>
      <c r="M55" s="239"/>
      <c r="N55" s="31">
        <v>38.799999999999997</v>
      </c>
      <c r="O55" s="15" t="s">
        <v>83</v>
      </c>
      <c r="P55" s="260"/>
    </row>
    <row r="56" spans="3:16" ht="15.4" customHeight="1" x14ac:dyDescent="0.3">
      <c r="C56" s="13" t="s">
        <v>30</v>
      </c>
      <c r="D56" s="27">
        <v>7.5</v>
      </c>
      <c r="E56" s="15" t="s">
        <v>74</v>
      </c>
      <c r="F56" s="231"/>
      <c r="G56" s="268">
        <v>5000</v>
      </c>
      <c r="H56" s="267"/>
      <c r="I56" s="28" t="s">
        <v>12</v>
      </c>
      <c r="J56" s="235"/>
      <c r="K56" s="29">
        <v>3500</v>
      </c>
      <c r="L56" s="30" t="s">
        <v>13</v>
      </c>
      <c r="M56" s="239"/>
      <c r="N56" s="31">
        <v>34.6</v>
      </c>
      <c r="O56" s="15" t="s">
        <v>83</v>
      </c>
      <c r="P56" s="260"/>
    </row>
    <row r="57" spans="3:16" ht="15.4" customHeight="1" x14ac:dyDescent="0.3">
      <c r="C57" s="13" t="s">
        <v>34</v>
      </c>
      <c r="D57" s="27">
        <v>11</v>
      </c>
      <c r="E57" s="15" t="s">
        <v>74</v>
      </c>
      <c r="F57" s="231"/>
      <c r="G57" s="268">
        <v>6200</v>
      </c>
      <c r="H57" s="267"/>
      <c r="I57" s="28" t="s">
        <v>12</v>
      </c>
      <c r="J57" s="231"/>
      <c r="K57" s="29">
        <v>3500</v>
      </c>
      <c r="L57" s="30" t="s">
        <v>13</v>
      </c>
      <c r="M57" s="239"/>
      <c r="N57" s="31">
        <v>47.4</v>
      </c>
      <c r="O57" s="15" t="s">
        <v>83</v>
      </c>
      <c r="P57" s="260"/>
    </row>
    <row r="58" spans="3:16" ht="15.4" customHeight="1" x14ac:dyDescent="0.3">
      <c r="C58" s="13" t="s">
        <v>35</v>
      </c>
      <c r="D58" s="27">
        <v>15</v>
      </c>
      <c r="E58" s="15" t="s">
        <v>74</v>
      </c>
      <c r="F58" s="231"/>
      <c r="G58" s="268">
        <v>7300</v>
      </c>
      <c r="H58" s="267"/>
      <c r="I58" s="28" t="s">
        <v>12</v>
      </c>
      <c r="J58" s="236"/>
      <c r="K58" s="29">
        <v>3200</v>
      </c>
      <c r="L58" s="30" t="s">
        <v>13</v>
      </c>
      <c r="M58" s="239"/>
      <c r="N58" s="31">
        <v>58.2</v>
      </c>
      <c r="O58" s="15" t="s">
        <v>83</v>
      </c>
      <c r="P58" s="260"/>
    </row>
    <row r="59" spans="3:16" ht="15.4" customHeight="1" x14ac:dyDescent="0.3">
      <c r="C59" s="13" t="s">
        <v>31</v>
      </c>
      <c r="D59" s="27">
        <v>7.5</v>
      </c>
      <c r="E59" s="15" t="s">
        <v>74</v>
      </c>
      <c r="F59" s="231"/>
      <c r="G59" s="268">
        <v>5200</v>
      </c>
      <c r="H59" s="267"/>
      <c r="I59" s="28" t="s">
        <v>12</v>
      </c>
      <c r="J59" s="235"/>
      <c r="K59" s="29">
        <v>3400</v>
      </c>
      <c r="L59" s="30" t="s">
        <v>13</v>
      </c>
      <c r="M59" s="239"/>
      <c r="N59" s="31">
        <v>46</v>
      </c>
      <c r="O59" s="15" t="s">
        <v>83</v>
      </c>
      <c r="P59" s="260"/>
    </row>
    <row r="60" spans="3:16" ht="15.4" customHeight="1" x14ac:dyDescent="0.3">
      <c r="C60" s="13" t="s">
        <v>36</v>
      </c>
      <c r="D60" s="27">
        <v>11</v>
      </c>
      <c r="E60" s="15" t="s">
        <v>74</v>
      </c>
      <c r="F60" s="231"/>
      <c r="G60" s="267"/>
      <c r="H60" s="267"/>
      <c r="I60" s="28" t="s">
        <v>12</v>
      </c>
      <c r="J60" s="231"/>
      <c r="K60" s="32"/>
      <c r="L60" s="30" t="s">
        <v>13</v>
      </c>
      <c r="M60" s="239"/>
      <c r="N60" s="31">
        <v>63.2</v>
      </c>
      <c r="O60" s="15" t="s">
        <v>83</v>
      </c>
      <c r="P60" s="260"/>
    </row>
    <row r="61" spans="3:16" ht="15.4" customHeight="1" x14ac:dyDescent="0.3">
      <c r="C61" s="13" t="s">
        <v>37</v>
      </c>
      <c r="D61" s="27">
        <v>15</v>
      </c>
      <c r="E61" s="15" t="s">
        <v>74</v>
      </c>
      <c r="F61" s="231"/>
      <c r="G61" s="267"/>
      <c r="H61" s="267"/>
      <c r="I61" s="28" t="s">
        <v>12</v>
      </c>
      <c r="J61" s="231"/>
      <c r="K61" s="32"/>
      <c r="L61" s="30" t="s">
        <v>13</v>
      </c>
      <c r="M61" s="239"/>
      <c r="N61" s="31">
        <v>77.599999999999994</v>
      </c>
      <c r="O61" s="15" t="s">
        <v>83</v>
      </c>
      <c r="P61" s="260"/>
    </row>
    <row r="62" spans="3:16" ht="15.4" customHeight="1" x14ac:dyDescent="0.3">
      <c r="C62" s="13" t="s">
        <v>33</v>
      </c>
      <c r="D62" s="27">
        <v>11</v>
      </c>
      <c r="E62" s="15" t="s">
        <v>74</v>
      </c>
      <c r="F62" s="231"/>
      <c r="G62" s="267"/>
      <c r="H62" s="267"/>
      <c r="I62" s="28" t="s">
        <v>12</v>
      </c>
      <c r="J62" s="231"/>
      <c r="K62" s="32"/>
      <c r="L62" s="30" t="s">
        <v>13</v>
      </c>
      <c r="M62" s="239"/>
      <c r="N62" s="31">
        <v>57.6</v>
      </c>
      <c r="O62" s="15" t="s">
        <v>83</v>
      </c>
      <c r="P62" s="260"/>
    </row>
    <row r="63" spans="3:16" ht="15.4" customHeight="1" x14ac:dyDescent="0.3">
      <c r="C63" s="13" t="s">
        <v>38</v>
      </c>
      <c r="D63" s="27">
        <v>15</v>
      </c>
      <c r="E63" s="15" t="s">
        <v>74</v>
      </c>
      <c r="F63" s="231"/>
      <c r="G63" s="267"/>
      <c r="H63" s="267"/>
      <c r="I63" s="28" t="s">
        <v>12</v>
      </c>
      <c r="J63" s="231"/>
      <c r="K63" s="32"/>
      <c r="L63" s="30" t="s">
        <v>13</v>
      </c>
      <c r="M63" s="239"/>
      <c r="N63" s="31">
        <v>79</v>
      </c>
      <c r="O63" s="15" t="s">
        <v>83</v>
      </c>
      <c r="P63" s="260"/>
    </row>
    <row r="64" spans="3:16" ht="15.4" customHeight="1" x14ac:dyDescent="0.3">
      <c r="C64" s="13" t="s">
        <v>39</v>
      </c>
      <c r="D64" s="27">
        <v>18.5</v>
      </c>
      <c r="E64" s="15" t="s">
        <v>74</v>
      </c>
      <c r="F64" s="231"/>
      <c r="G64" s="267"/>
      <c r="H64" s="267"/>
      <c r="I64" s="28" t="s">
        <v>12</v>
      </c>
      <c r="J64" s="231"/>
      <c r="K64" s="32"/>
      <c r="L64" s="30" t="s">
        <v>13</v>
      </c>
      <c r="M64" s="239"/>
      <c r="N64" s="31">
        <v>97</v>
      </c>
      <c r="O64" s="15" t="s">
        <v>83</v>
      </c>
      <c r="P64" s="260"/>
    </row>
    <row r="65" spans="3:17" ht="15.4" customHeight="1" x14ac:dyDescent="0.3">
      <c r="C65" s="13" t="s">
        <v>40</v>
      </c>
      <c r="D65" s="27">
        <v>15</v>
      </c>
      <c r="E65" s="15" t="s">
        <v>74</v>
      </c>
      <c r="F65" s="231"/>
      <c r="G65" s="268">
        <v>8600</v>
      </c>
      <c r="H65" s="267"/>
      <c r="I65" s="28" t="s">
        <v>12</v>
      </c>
      <c r="J65" s="236"/>
      <c r="K65" s="29">
        <v>3200</v>
      </c>
      <c r="L65" s="30" t="s">
        <v>13</v>
      </c>
      <c r="M65" s="239"/>
      <c r="N65" s="31">
        <v>57.6</v>
      </c>
      <c r="O65" s="15" t="s">
        <v>83</v>
      </c>
      <c r="P65" s="260"/>
    </row>
    <row r="66" spans="3:17" ht="15.4" customHeight="1" x14ac:dyDescent="0.3">
      <c r="C66" s="13" t="s">
        <v>41</v>
      </c>
      <c r="D66" s="27">
        <v>18.5</v>
      </c>
      <c r="E66" s="15" t="s">
        <v>74</v>
      </c>
      <c r="F66" s="231"/>
      <c r="G66" s="268">
        <v>12000</v>
      </c>
      <c r="H66" s="267"/>
      <c r="I66" s="28" t="s">
        <v>12</v>
      </c>
      <c r="J66" s="236"/>
      <c r="K66" s="29">
        <v>3200</v>
      </c>
      <c r="L66" s="30" t="s">
        <v>13</v>
      </c>
      <c r="M66" s="239"/>
      <c r="N66" s="31">
        <v>79</v>
      </c>
      <c r="O66" s="15" t="s">
        <v>83</v>
      </c>
      <c r="P66" s="260"/>
    </row>
    <row r="67" spans="3:17" ht="15.4" customHeight="1" x14ac:dyDescent="0.3">
      <c r="C67" s="13" t="s">
        <v>85</v>
      </c>
      <c r="D67" s="27">
        <v>18.5</v>
      </c>
      <c r="E67" s="15" t="s">
        <v>74</v>
      </c>
      <c r="F67" s="231"/>
      <c r="G67" s="268">
        <v>11000</v>
      </c>
      <c r="H67" s="267"/>
      <c r="I67" s="28" t="s">
        <v>12</v>
      </c>
      <c r="J67" s="236"/>
      <c r="K67" s="29">
        <v>3700</v>
      </c>
      <c r="L67" s="30" t="s">
        <v>13</v>
      </c>
      <c r="M67" s="239"/>
      <c r="N67" s="31">
        <v>97</v>
      </c>
      <c r="O67" s="15" t="s">
        <v>83</v>
      </c>
      <c r="P67" s="260"/>
    </row>
    <row r="68" spans="3:17" ht="15.4" customHeight="1" x14ac:dyDescent="0.3">
      <c r="C68" s="13" t="s">
        <v>87</v>
      </c>
      <c r="D68" s="27" t="s">
        <v>76</v>
      </c>
      <c r="E68" s="15" t="s">
        <v>74</v>
      </c>
      <c r="F68" s="231"/>
      <c r="G68" s="264"/>
      <c r="H68" s="264"/>
      <c r="I68" s="28"/>
      <c r="J68" s="236"/>
      <c r="K68" s="29"/>
      <c r="L68" s="30"/>
      <c r="M68" s="239"/>
      <c r="N68" s="31">
        <v>69.2</v>
      </c>
      <c r="O68" s="15" t="s">
        <v>83</v>
      </c>
      <c r="P68" s="260"/>
    </row>
    <row r="69" spans="3:17" ht="15.4" customHeight="1" x14ac:dyDescent="0.3">
      <c r="C69" s="13" t="s">
        <v>45</v>
      </c>
      <c r="D69" s="27" t="s">
        <v>76</v>
      </c>
      <c r="E69" s="15" t="s">
        <v>74</v>
      </c>
      <c r="F69" s="231"/>
      <c r="G69" s="268">
        <v>14000</v>
      </c>
      <c r="H69" s="267"/>
      <c r="I69" s="28" t="s">
        <v>12</v>
      </c>
      <c r="J69" s="235"/>
      <c r="K69" s="29">
        <v>3200</v>
      </c>
      <c r="L69" s="30" t="s">
        <v>13</v>
      </c>
      <c r="M69" s="239"/>
      <c r="N69" s="31">
        <v>94.8</v>
      </c>
      <c r="O69" s="15" t="s">
        <v>83</v>
      </c>
      <c r="P69" s="260"/>
    </row>
    <row r="70" spans="3:17" ht="15.4" customHeight="1" x14ac:dyDescent="0.3">
      <c r="C70" s="13" t="s">
        <v>86</v>
      </c>
      <c r="D70" s="27" t="s">
        <v>77</v>
      </c>
      <c r="E70" s="15" t="s">
        <v>74</v>
      </c>
      <c r="F70" s="231"/>
      <c r="G70" s="268">
        <v>15000</v>
      </c>
      <c r="H70" s="267"/>
      <c r="I70" s="28" t="s">
        <v>12</v>
      </c>
      <c r="J70" s="231"/>
      <c r="K70" s="29">
        <v>3500</v>
      </c>
      <c r="L70" s="30" t="s">
        <v>13</v>
      </c>
      <c r="M70" s="239"/>
      <c r="N70" s="31">
        <v>116.4</v>
      </c>
      <c r="O70" s="15" t="s">
        <v>83</v>
      </c>
      <c r="P70" s="260"/>
    </row>
    <row r="71" spans="3:17" ht="15.4" customHeight="1" x14ac:dyDescent="0.3">
      <c r="C71" s="13" t="s">
        <v>43</v>
      </c>
      <c r="D71" s="27" t="s">
        <v>78</v>
      </c>
      <c r="E71" s="15" t="s">
        <v>74</v>
      </c>
      <c r="F71" s="231"/>
      <c r="G71" s="267"/>
      <c r="H71" s="267"/>
      <c r="I71" s="28" t="s">
        <v>12</v>
      </c>
      <c r="J71" s="231"/>
      <c r="K71" s="32"/>
      <c r="L71" s="30" t="s">
        <v>13</v>
      </c>
      <c r="M71" s="239"/>
      <c r="N71" s="31">
        <v>92</v>
      </c>
      <c r="O71" s="15" t="s">
        <v>83</v>
      </c>
      <c r="P71" s="260"/>
    </row>
    <row r="72" spans="3:17" ht="15.4" customHeight="1" x14ac:dyDescent="0.3">
      <c r="C72" s="13" t="s">
        <v>88</v>
      </c>
      <c r="D72" s="27" t="s">
        <v>77</v>
      </c>
      <c r="E72" s="15" t="s">
        <v>74</v>
      </c>
      <c r="F72" s="231"/>
      <c r="G72" s="267"/>
      <c r="H72" s="267"/>
      <c r="I72" s="28" t="s">
        <v>12</v>
      </c>
      <c r="J72" s="231"/>
      <c r="K72" s="32"/>
      <c r="L72" s="30" t="s">
        <v>13</v>
      </c>
      <c r="M72" s="239"/>
      <c r="N72" s="31">
        <v>126.4</v>
      </c>
      <c r="O72" s="15" t="s">
        <v>83</v>
      </c>
      <c r="P72" s="260"/>
    </row>
    <row r="73" spans="3:17" ht="15.4" customHeight="1" thickBot="1" x14ac:dyDescent="0.35">
      <c r="C73" s="20" t="s">
        <v>84</v>
      </c>
      <c r="D73" s="44" t="s">
        <v>75</v>
      </c>
      <c r="E73" s="22" t="s">
        <v>74</v>
      </c>
      <c r="F73" s="232"/>
      <c r="G73" s="269">
        <v>17000</v>
      </c>
      <c r="H73" s="270"/>
      <c r="I73" s="33" t="s">
        <v>12</v>
      </c>
      <c r="J73" s="232"/>
      <c r="K73" s="34">
        <v>4100</v>
      </c>
      <c r="L73" s="35" t="s">
        <v>13</v>
      </c>
      <c r="M73" s="240"/>
      <c r="N73" s="36">
        <v>155.19999999999999</v>
      </c>
      <c r="O73" s="22" t="s">
        <v>83</v>
      </c>
      <c r="P73" s="260"/>
    </row>
    <row r="74" spans="3:17" ht="15" customHeight="1" x14ac:dyDescent="0.3">
      <c r="P74" s="260"/>
      <c r="Q74" s="260"/>
    </row>
    <row r="75" spans="3:17" x14ac:dyDescent="0.3">
      <c r="P75" s="260"/>
      <c r="Q75" s="260"/>
    </row>
  </sheetData>
  <mergeCells count="70">
    <mergeCell ref="D3:K3"/>
    <mergeCell ref="D4:K4"/>
    <mergeCell ref="D5:K5"/>
    <mergeCell ref="C20:D20"/>
    <mergeCell ref="S10:T11"/>
    <mergeCell ref="N10:O11"/>
    <mergeCell ref="T7:U7"/>
    <mergeCell ref="C21:D21"/>
    <mergeCell ref="C14:D14"/>
    <mergeCell ref="C22:D22"/>
    <mergeCell ref="C15:D15"/>
    <mergeCell ref="C16:D16"/>
    <mergeCell ref="C17:D17"/>
    <mergeCell ref="C18:D18"/>
    <mergeCell ref="C19:D19"/>
    <mergeCell ref="B10:B11"/>
    <mergeCell ref="C10:D11"/>
    <mergeCell ref="E10:J10"/>
    <mergeCell ref="C13:D13"/>
    <mergeCell ref="L10:M11"/>
    <mergeCell ref="K10:K11"/>
    <mergeCell ref="C12:D12"/>
    <mergeCell ref="F42:G42"/>
    <mergeCell ref="F46:G46"/>
    <mergeCell ref="F40:G40"/>
    <mergeCell ref="F41:G41"/>
    <mergeCell ref="R10:R11"/>
    <mergeCell ref="P10:Q11"/>
    <mergeCell ref="D49:E49"/>
    <mergeCell ref="G53:H53"/>
    <mergeCell ref="D6:K6"/>
    <mergeCell ref="D7:K7"/>
    <mergeCell ref="D8:K8"/>
    <mergeCell ref="F39:G39"/>
    <mergeCell ref="F45:G45"/>
    <mergeCell ref="F47:G47"/>
    <mergeCell ref="C23:D23"/>
    <mergeCell ref="C24:D24"/>
    <mergeCell ref="C25:D25"/>
    <mergeCell ref="F34:G34"/>
    <mergeCell ref="F35:G35"/>
    <mergeCell ref="C26:D26"/>
    <mergeCell ref="F43:G43"/>
    <mergeCell ref="F44:G44"/>
    <mergeCell ref="G73:H73"/>
    <mergeCell ref="N49:O49"/>
    <mergeCell ref="K49:L49"/>
    <mergeCell ref="G49:I49"/>
    <mergeCell ref="G65:H65"/>
    <mergeCell ref="G66:H66"/>
    <mergeCell ref="G69:H69"/>
    <mergeCell ref="G70:H70"/>
    <mergeCell ref="G71:H71"/>
    <mergeCell ref="G62:H62"/>
    <mergeCell ref="G63:H63"/>
    <mergeCell ref="G64:H64"/>
    <mergeCell ref="G54:H54"/>
    <mergeCell ref="G55:H55"/>
    <mergeCell ref="G56:H56"/>
    <mergeCell ref="G57:H57"/>
    <mergeCell ref="G68:H68"/>
    <mergeCell ref="G50:H50"/>
    <mergeCell ref="G51:H51"/>
    <mergeCell ref="G52:H52"/>
    <mergeCell ref="G72:H72"/>
    <mergeCell ref="G58:H58"/>
    <mergeCell ref="G59:H59"/>
    <mergeCell ref="G60:H60"/>
    <mergeCell ref="G61:H61"/>
    <mergeCell ref="G67:H67"/>
  </mergeCells>
  <pageMargins left="0.7" right="0.7" top="4.1666666666666664E-2" bottom="0.19166666666666668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8"/>
  <sheetViews>
    <sheetView workbookViewId="0">
      <selection activeCell="E13" sqref="E13"/>
    </sheetView>
  </sheetViews>
  <sheetFormatPr baseColWidth="10" defaultRowHeight="15.75" x14ac:dyDescent="0.25"/>
  <cols>
    <col min="1" max="1" width="1.5703125" customWidth="1"/>
    <col min="2" max="2" width="42.140625" style="45" customWidth="1"/>
    <col min="3" max="3" width="16.7109375" style="48" customWidth="1"/>
    <col min="4" max="7" width="14.140625" style="48" customWidth="1"/>
    <col min="258" max="258" width="42.140625" customWidth="1"/>
    <col min="259" max="259" width="14.85546875" customWidth="1"/>
    <col min="260" max="263" width="14.140625" customWidth="1"/>
    <col min="514" max="514" width="42.140625" customWidth="1"/>
    <col min="515" max="515" width="14.85546875" customWidth="1"/>
    <col min="516" max="519" width="14.140625" customWidth="1"/>
    <col min="770" max="770" width="42.140625" customWidth="1"/>
    <col min="771" max="771" width="14.85546875" customWidth="1"/>
    <col min="772" max="775" width="14.140625" customWidth="1"/>
    <col min="1026" max="1026" width="42.140625" customWidth="1"/>
    <col min="1027" max="1027" width="14.85546875" customWidth="1"/>
    <col min="1028" max="1031" width="14.140625" customWidth="1"/>
    <col min="1282" max="1282" width="42.140625" customWidth="1"/>
    <col min="1283" max="1283" width="14.85546875" customWidth="1"/>
    <col min="1284" max="1287" width="14.140625" customWidth="1"/>
    <col min="1538" max="1538" width="42.140625" customWidth="1"/>
    <col min="1539" max="1539" width="14.85546875" customWidth="1"/>
    <col min="1540" max="1543" width="14.140625" customWidth="1"/>
    <col min="1794" max="1794" width="42.140625" customWidth="1"/>
    <col min="1795" max="1795" width="14.85546875" customWidth="1"/>
    <col min="1796" max="1799" width="14.140625" customWidth="1"/>
    <col min="2050" max="2050" width="42.140625" customWidth="1"/>
    <col min="2051" max="2051" width="14.85546875" customWidth="1"/>
    <col min="2052" max="2055" width="14.140625" customWidth="1"/>
    <col min="2306" max="2306" width="42.140625" customWidth="1"/>
    <col min="2307" max="2307" width="14.85546875" customWidth="1"/>
    <col min="2308" max="2311" width="14.140625" customWidth="1"/>
    <col min="2562" max="2562" width="42.140625" customWidth="1"/>
    <col min="2563" max="2563" width="14.85546875" customWidth="1"/>
    <col min="2564" max="2567" width="14.140625" customWidth="1"/>
    <col min="2818" max="2818" width="42.140625" customWidth="1"/>
    <col min="2819" max="2819" width="14.85546875" customWidth="1"/>
    <col min="2820" max="2823" width="14.140625" customWidth="1"/>
    <col min="3074" max="3074" width="42.140625" customWidth="1"/>
    <col min="3075" max="3075" width="14.85546875" customWidth="1"/>
    <col min="3076" max="3079" width="14.140625" customWidth="1"/>
    <col min="3330" max="3330" width="42.140625" customWidth="1"/>
    <col min="3331" max="3331" width="14.85546875" customWidth="1"/>
    <col min="3332" max="3335" width="14.140625" customWidth="1"/>
    <col min="3586" max="3586" width="42.140625" customWidth="1"/>
    <col min="3587" max="3587" width="14.85546875" customWidth="1"/>
    <col min="3588" max="3591" width="14.140625" customWidth="1"/>
    <col min="3842" max="3842" width="42.140625" customWidth="1"/>
    <col min="3843" max="3843" width="14.85546875" customWidth="1"/>
    <col min="3844" max="3847" width="14.140625" customWidth="1"/>
    <col min="4098" max="4098" width="42.140625" customWidth="1"/>
    <col min="4099" max="4099" width="14.85546875" customWidth="1"/>
    <col min="4100" max="4103" width="14.140625" customWidth="1"/>
    <col min="4354" max="4354" width="42.140625" customWidth="1"/>
    <col min="4355" max="4355" width="14.85546875" customWidth="1"/>
    <col min="4356" max="4359" width="14.140625" customWidth="1"/>
    <col min="4610" max="4610" width="42.140625" customWidth="1"/>
    <col min="4611" max="4611" width="14.85546875" customWidth="1"/>
    <col min="4612" max="4615" width="14.140625" customWidth="1"/>
    <col min="4866" max="4866" width="42.140625" customWidth="1"/>
    <col min="4867" max="4867" width="14.85546875" customWidth="1"/>
    <col min="4868" max="4871" width="14.140625" customWidth="1"/>
    <col min="5122" max="5122" width="42.140625" customWidth="1"/>
    <col min="5123" max="5123" width="14.85546875" customWidth="1"/>
    <col min="5124" max="5127" width="14.140625" customWidth="1"/>
    <col min="5378" max="5378" width="42.140625" customWidth="1"/>
    <col min="5379" max="5379" width="14.85546875" customWidth="1"/>
    <col min="5380" max="5383" width="14.140625" customWidth="1"/>
    <col min="5634" max="5634" width="42.140625" customWidth="1"/>
    <col min="5635" max="5635" width="14.85546875" customWidth="1"/>
    <col min="5636" max="5639" width="14.140625" customWidth="1"/>
    <col min="5890" max="5890" width="42.140625" customWidth="1"/>
    <col min="5891" max="5891" width="14.85546875" customWidth="1"/>
    <col min="5892" max="5895" width="14.140625" customWidth="1"/>
    <col min="6146" max="6146" width="42.140625" customWidth="1"/>
    <col min="6147" max="6147" width="14.85546875" customWidth="1"/>
    <col min="6148" max="6151" width="14.140625" customWidth="1"/>
    <col min="6402" max="6402" width="42.140625" customWidth="1"/>
    <col min="6403" max="6403" width="14.85546875" customWidth="1"/>
    <col min="6404" max="6407" width="14.140625" customWidth="1"/>
    <col min="6658" max="6658" width="42.140625" customWidth="1"/>
    <col min="6659" max="6659" width="14.85546875" customWidth="1"/>
    <col min="6660" max="6663" width="14.140625" customWidth="1"/>
    <col min="6914" max="6914" width="42.140625" customWidth="1"/>
    <col min="6915" max="6915" width="14.85546875" customWidth="1"/>
    <col min="6916" max="6919" width="14.140625" customWidth="1"/>
    <col min="7170" max="7170" width="42.140625" customWidth="1"/>
    <col min="7171" max="7171" width="14.85546875" customWidth="1"/>
    <col min="7172" max="7175" width="14.140625" customWidth="1"/>
    <col min="7426" max="7426" width="42.140625" customWidth="1"/>
    <col min="7427" max="7427" width="14.85546875" customWidth="1"/>
    <col min="7428" max="7431" width="14.140625" customWidth="1"/>
    <col min="7682" max="7682" width="42.140625" customWidth="1"/>
    <col min="7683" max="7683" width="14.85546875" customWidth="1"/>
    <col min="7684" max="7687" width="14.140625" customWidth="1"/>
    <col min="7938" max="7938" width="42.140625" customWidth="1"/>
    <col min="7939" max="7939" width="14.85546875" customWidth="1"/>
    <col min="7940" max="7943" width="14.140625" customWidth="1"/>
    <col min="8194" max="8194" width="42.140625" customWidth="1"/>
    <col min="8195" max="8195" width="14.85546875" customWidth="1"/>
    <col min="8196" max="8199" width="14.140625" customWidth="1"/>
    <col min="8450" max="8450" width="42.140625" customWidth="1"/>
    <col min="8451" max="8451" width="14.85546875" customWidth="1"/>
    <col min="8452" max="8455" width="14.140625" customWidth="1"/>
    <col min="8706" max="8706" width="42.140625" customWidth="1"/>
    <col min="8707" max="8707" width="14.85546875" customWidth="1"/>
    <col min="8708" max="8711" width="14.140625" customWidth="1"/>
    <col min="8962" max="8962" width="42.140625" customWidth="1"/>
    <col min="8963" max="8963" width="14.85546875" customWidth="1"/>
    <col min="8964" max="8967" width="14.140625" customWidth="1"/>
    <col min="9218" max="9218" width="42.140625" customWidth="1"/>
    <col min="9219" max="9219" width="14.85546875" customWidth="1"/>
    <col min="9220" max="9223" width="14.140625" customWidth="1"/>
    <col min="9474" max="9474" width="42.140625" customWidth="1"/>
    <col min="9475" max="9475" width="14.85546875" customWidth="1"/>
    <col min="9476" max="9479" width="14.140625" customWidth="1"/>
    <col min="9730" max="9730" width="42.140625" customWidth="1"/>
    <col min="9731" max="9731" width="14.85546875" customWidth="1"/>
    <col min="9732" max="9735" width="14.140625" customWidth="1"/>
    <col min="9986" max="9986" width="42.140625" customWidth="1"/>
    <col min="9987" max="9987" width="14.85546875" customWidth="1"/>
    <col min="9988" max="9991" width="14.140625" customWidth="1"/>
    <col min="10242" max="10242" width="42.140625" customWidth="1"/>
    <col min="10243" max="10243" width="14.85546875" customWidth="1"/>
    <col min="10244" max="10247" width="14.140625" customWidth="1"/>
    <col min="10498" max="10498" width="42.140625" customWidth="1"/>
    <col min="10499" max="10499" width="14.85546875" customWidth="1"/>
    <col min="10500" max="10503" width="14.140625" customWidth="1"/>
    <col min="10754" max="10754" width="42.140625" customWidth="1"/>
    <col min="10755" max="10755" width="14.85546875" customWidth="1"/>
    <col min="10756" max="10759" width="14.140625" customWidth="1"/>
    <col min="11010" max="11010" width="42.140625" customWidth="1"/>
    <col min="11011" max="11011" width="14.85546875" customWidth="1"/>
    <col min="11012" max="11015" width="14.140625" customWidth="1"/>
    <col min="11266" max="11266" width="42.140625" customWidth="1"/>
    <col min="11267" max="11267" width="14.85546875" customWidth="1"/>
    <col min="11268" max="11271" width="14.140625" customWidth="1"/>
    <col min="11522" max="11522" width="42.140625" customWidth="1"/>
    <col min="11523" max="11523" width="14.85546875" customWidth="1"/>
    <col min="11524" max="11527" width="14.140625" customWidth="1"/>
    <col min="11778" max="11778" width="42.140625" customWidth="1"/>
    <col min="11779" max="11779" width="14.85546875" customWidth="1"/>
    <col min="11780" max="11783" width="14.140625" customWidth="1"/>
    <col min="12034" max="12034" width="42.140625" customWidth="1"/>
    <col min="12035" max="12035" width="14.85546875" customWidth="1"/>
    <col min="12036" max="12039" width="14.140625" customWidth="1"/>
    <col min="12290" max="12290" width="42.140625" customWidth="1"/>
    <col min="12291" max="12291" width="14.85546875" customWidth="1"/>
    <col min="12292" max="12295" width="14.140625" customWidth="1"/>
    <col min="12546" max="12546" width="42.140625" customWidth="1"/>
    <col min="12547" max="12547" width="14.85546875" customWidth="1"/>
    <col min="12548" max="12551" width="14.140625" customWidth="1"/>
    <col min="12802" max="12802" width="42.140625" customWidth="1"/>
    <col min="12803" max="12803" width="14.85546875" customWidth="1"/>
    <col min="12804" max="12807" width="14.140625" customWidth="1"/>
    <col min="13058" max="13058" width="42.140625" customWidth="1"/>
    <col min="13059" max="13059" width="14.85546875" customWidth="1"/>
    <col min="13060" max="13063" width="14.140625" customWidth="1"/>
    <col min="13314" max="13314" width="42.140625" customWidth="1"/>
    <col min="13315" max="13315" width="14.85546875" customWidth="1"/>
    <col min="13316" max="13319" width="14.140625" customWidth="1"/>
    <col min="13570" max="13570" width="42.140625" customWidth="1"/>
    <col min="13571" max="13571" width="14.85546875" customWidth="1"/>
    <col min="13572" max="13575" width="14.140625" customWidth="1"/>
    <col min="13826" max="13826" width="42.140625" customWidth="1"/>
    <col min="13827" max="13827" width="14.85546875" customWidth="1"/>
    <col min="13828" max="13831" width="14.140625" customWidth="1"/>
    <col min="14082" max="14082" width="42.140625" customWidth="1"/>
    <col min="14083" max="14083" width="14.85546875" customWidth="1"/>
    <col min="14084" max="14087" width="14.140625" customWidth="1"/>
    <col min="14338" max="14338" width="42.140625" customWidth="1"/>
    <col min="14339" max="14339" width="14.85546875" customWidth="1"/>
    <col min="14340" max="14343" width="14.140625" customWidth="1"/>
    <col min="14594" max="14594" width="42.140625" customWidth="1"/>
    <col min="14595" max="14595" width="14.85546875" customWidth="1"/>
    <col min="14596" max="14599" width="14.140625" customWidth="1"/>
    <col min="14850" max="14850" width="42.140625" customWidth="1"/>
    <col min="14851" max="14851" width="14.85546875" customWidth="1"/>
    <col min="14852" max="14855" width="14.140625" customWidth="1"/>
    <col min="15106" max="15106" width="42.140625" customWidth="1"/>
    <col min="15107" max="15107" width="14.85546875" customWidth="1"/>
    <col min="15108" max="15111" width="14.140625" customWidth="1"/>
    <col min="15362" max="15362" width="42.140625" customWidth="1"/>
    <col min="15363" max="15363" width="14.85546875" customWidth="1"/>
    <col min="15364" max="15367" width="14.140625" customWidth="1"/>
    <col min="15618" max="15618" width="42.140625" customWidth="1"/>
    <col min="15619" max="15619" width="14.85546875" customWidth="1"/>
    <col min="15620" max="15623" width="14.140625" customWidth="1"/>
    <col min="15874" max="15874" width="42.140625" customWidth="1"/>
    <col min="15875" max="15875" width="14.85546875" customWidth="1"/>
    <col min="15876" max="15879" width="14.140625" customWidth="1"/>
    <col min="16130" max="16130" width="42.140625" customWidth="1"/>
    <col min="16131" max="16131" width="14.85546875" customWidth="1"/>
    <col min="16132" max="16135" width="14.140625" customWidth="1"/>
  </cols>
  <sheetData>
    <row r="1" spans="2:7" s="45" customFormat="1" ht="38.25" x14ac:dyDescent="0.25">
      <c r="B1" s="135" t="s">
        <v>93</v>
      </c>
      <c r="C1" s="136" t="s">
        <v>94</v>
      </c>
      <c r="D1" s="136" t="s">
        <v>95</v>
      </c>
      <c r="E1" s="136" t="s">
        <v>96</v>
      </c>
      <c r="F1" s="136" t="s">
        <v>97</v>
      </c>
      <c r="G1" s="136" t="s">
        <v>98</v>
      </c>
    </row>
    <row r="2" spans="2:7" x14ac:dyDescent="0.25">
      <c r="B2" s="46" t="s">
        <v>99</v>
      </c>
      <c r="C2" s="47">
        <v>120</v>
      </c>
      <c r="D2" s="47" t="s">
        <v>100</v>
      </c>
      <c r="E2" s="47">
        <v>28</v>
      </c>
      <c r="F2" s="47">
        <v>1140</v>
      </c>
      <c r="G2" s="47"/>
    </row>
    <row r="3" spans="2:7" x14ac:dyDescent="0.25">
      <c r="B3" s="46" t="s">
        <v>101</v>
      </c>
      <c r="C3" s="47">
        <v>140</v>
      </c>
      <c r="D3" s="47" t="s">
        <v>102</v>
      </c>
      <c r="E3" s="47">
        <v>28</v>
      </c>
      <c r="F3" s="47">
        <v>1550</v>
      </c>
      <c r="G3" s="47">
        <v>700</v>
      </c>
    </row>
    <row r="4" spans="2:7" x14ac:dyDescent="0.25">
      <c r="B4" s="46" t="s">
        <v>103</v>
      </c>
      <c r="C4" s="47">
        <v>160</v>
      </c>
      <c r="D4" s="47" t="s">
        <v>104</v>
      </c>
      <c r="E4" s="47">
        <v>28</v>
      </c>
      <c r="F4" s="47">
        <v>2030</v>
      </c>
      <c r="G4" s="47"/>
    </row>
    <row r="5" spans="2:7" x14ac:dyDescent="0.25">
      <c r="B5" s="46" t="s">
        <v>105</v>
      </c>
      <c r="C5" s="47">
        <v>250</v>
      </c>
      <c r="D5" s="47" t="s">
        <v>106</v>
      </c>
      <c r="E5" s="47" t="s">
        <v>107</v>
      </c>
      <c r="F5" s="47">
        <v>5300</v>
      </c>
      <c r="G5" s="47" t="s">
        <v>108</v>
      </c>
    </row>
    <row r="6" spans="2:7" x14ac:dyDescent="0.25">
      <c r="B6" s="46" t="s">
        <v>105</v>
      </c>
      <c r="C6" s="47">
        <v>300</v>
      </c>
      <c r="D6" s="47" t="s">
        <v>106</v>
      </c>
      <c r="E6" s="47" t="s">
        <v>107</v>
      </c>
      <c r="F6" s="47">
        <v>7600</v>
      </c>
      <c r="G6" s="47" t="s">
        <v>109</v>
      </c>
    </row>
    <row r="7" spans="2:7" ht="72" x14ac:dyDescent="0.25">
      <c r="B7" s="46" t="s">
        <v>110</v>
      </c>
      <c r="C7" s="47" t="s">
        <v>111</v>
      </c>
      <c r="D7" s="47" t="s">
        <v>112</v>
      </c>
      <c r="E7" s="47">
        <v>23</v>
      </c>
      <c r="F7" s="47"/>
      <c r="G7" s="47" t="s">
        <v>113</v>
      </c>
    </row>
    <row r="8" spans="2:7" x14ac:dyDescent="0.25">
      <c r="B8" s="46" t="s">
        <v>114</v>
      </c>
      <c r="C8" s="47">
        <v>120</v>
      </c>
      <c r="D8" s="47" t="s">
        <v>100</v>
      </c>
      <c r="E8" s="47">
        <v>28</v>
      </c>
      <c r="F8" s="47">
        <v>1140</v>
      </c>
      <c r="G8" s="47"/>
    </row>
    <row r="9" spans="2:7" x14ac:dyDescent="0.25">
      <c r="B9" s="46" t="s">
        <v>115</v>
      </c>
      <c r="C9" s="47">
        <v>140</v>
      </c>
      <c r="D9" s="47" t="s">
        <v>102</v>
      </c>
      <c r="E9" s="47">
        <v>28</v>
      </c>
      <c r="F9" s="47">
        <v>1550</v>
      </c>
      <c r="G9" s="47">
        <v>700</v>
      </c>
    </row>
    <row r="10" spans="2:7" x14ac:dyDescent="0.25">
      <c r="B10" s="46" t="s">
        <v>116</v>
      </c>
      <c r="C10" s="47">
        <v>160</v>
      </c>
      <c r="D10" s="47" t="s">
        <v>104</v>
      </c>
      <c r="E10" s="47">
        <v>28</v>
      </c>
      <c r="F10" s="47">
        <v>2030</v>
      </c>
      <c r="G10" s="47"/>
    </row>
    <row r="11" spans="2:7" x14ac:dyDescent="0.25">
      <c r="B11" s="46" t="s">
        <v>117</v>
      </c>
      <c r="C11" s="47" t="s">
        <v>118</v>
      </c>
      <c r="D11" s="47" t="s">
        <v>102</v>
      </c>
      <c r="E11" s="47">
        <v>23</v>
      </c>
      <c r="F11" s="47">
        <v>1300</v>
      </c>
      <c r="G11" s="47">
        <v>1500</v>
      </c>
    </row>
    <row r="12" spans="2:7" x14ac:dyDescent="0.25">
      <c r="B12" s="46" t="s">
        <v>119</v>
      </c>
      <c r="C12" s="47">
        <v>200</v>
      </c>
      <c r="D12" s="47" t="s">
        <v>120</v>
      </c>
      <c r="E12" s="47">
        <v>23</v>
      </c>
      <c r="F12" s="47">
        <v>2600</v>
      </c>
      <c r="G12" s="47">
        <v>1300</v>
      </c>
    </row>
    <row r="13" spans="2:7" ht="42.75" x14ac:dyDescent="0.25">
      <c r="B13" s="46" t="s">
        <v>121</v>
      </c>
      <c r="C13" s="47">
        <v>120</v>
      </c>
      <c r="D13" s="47" t="s">
        <v>100</v>
      </c>
      <c r="E13" s="47">
        <v>23</v>
      </c>
      <c r="F13" s="47">
        <v>950</v>
      </c>
      <c r="G13" s="47" t="s">
        <v>122</v>
      </c>
    </row>
    <row r="14" spans="2:7" ht="28.5" x14ac:dyDescent="0.25">
      <c r="B14" s="46" t="s">
        <v>123</v>
      </c>
      <c r="C14" s="47" t="s">
        <v>124</v>
      </c>
      <c r="D14" s="47" t="s">
        <v>102</v>
      </c>
      <c r="E14" s="47">
        <v>23</v>
      </c>
      <c r="F14" s="47">
        <v>950</v>
      </c>
      <c r="G14" s="47">
        <v>1200</v>
      </c>
    </row>
    <row r="15" spans="2:7" ht="28.5" x14ac:dyDescent="0.25">
      <c r="B15" s="46" t="s">
        <v>125</v>
      </c>
      <c r="C15" s="47" t="s">
        <v>126</v>
      </c>
      <c r="D15" s="47" t="s">
        <v>127</v>
      </c>
      <c r="E15" s="47">
        <v>23</v>
      </c>
      <c r="F15" s="47">
        <v>1300</v>
      </c>
      <c r="G15" s="47">
        <v>1000</v>
      </c>
    </row>
    <row r="16" spans="2:7" x14ac:dyDescent="0.25">
      <c r="B16" s="46" t="s">
        <v>128</v>
      </c>
      <c r="C16" s="47">
        <v>120</v>
      </c>
      <c r="D16" s="47" t="s">
        <v>100</v>
      </c>
      <c r="E16" s="47">
        <v>28</v>
      </c>
      <c r="F16" s="47">
        <v>1140</v>
      </c>
      <c r="G16" s="47">
        <v>850</v>
      </c>
    </row>
    <row r="17" spans="2:7" x14ac:dyDescent="0.25">
      <c r="B17" s="46" t="s">
        <v>129</v>
      </c>
      <c r="C17" s="47">
        <v>120</v>
      </c>
      <c r="D17" s="47" t="s">
        <v>100</v>
      </c>
      <c r="E17" s="47">
        <v>23</v>
      </c>
      <c r="F17" s="47">
        <v>950</v>
      </c>
      <c r="G17" s="47">
        <v>1000</v>
      </c>
    </row>
    <row r="18" spans="2:7" x14ac:dyDescent="0.25">
      <c r="B18" s="46" t="s">
        <v>130</v>
      </c>
      <c r="C18" s="47">
        <v>160</v>
      </c>
      <c r="D18" s="47" t="s">
        <v>104</v>
      </c>
      <c r="E18" s="47">
        <v>28</v>
      </c>
      <c r="F18" s="47">
        <v>2030</v>
      </c>
      <c r="G18" s="47">
        <v>1000</v>
      </c>
    </row>
    <row r="19" spans="2:7" x14ac:dyDescent="0.25">
      <c r="B19" s="46" t="s">
        <v>131</v>
      </c>
      <c r="C19" s="47">
        <v>120</v>
      </c>
      <c r="D19" s="47" t="s">
        <v>100</v>
      </c>
      <c r="E19" s="47"/>
      <c r="F19" s="47"/>
      <c r="G19" s="47"/>
    </row>
    <row r="20" spans="2:7" x14ac:dyDescent="0.25">
      <c r="B20" s="46" t="s">
        <v>131</v>
      </c>
      <c r="C20" s="47" t="s">
        <v>132</v>
      </c>
      <c r="D20" s="47" t="s">
        <v>133</v>
      </c>
      <c r="E20" s="47">
        <v>23</v>
      </c>
      <c r="F20" s="47">
        <v>950</v>
      </c>
      <c r="G20" s="47">
        <v>850</v>
      </c>
    </row>
    <row r="21" spans="2:7" ht="28.5" x14ac:dyDescent="0.25">
      <c r="B21" s="46" t="s">
        <v>134</v>
      </c>
      <c r="C21" s="47" t="s">
        <v>135</v>
      </c>
      <c r="D21" s="47" t="s">
        <v>104</v>
      </c>
      <c r="E21" s="47">
        <v>28</v>
      </c>
      <c r="F21" s="47">
        <v>2030</v>
      </c>
      <c r="G21" s="47">
        <v>1000</v>
      </c>
    </row>
    <row r="22" spans="2:7" x14ac:dyDescent="0.25">
      <c r="B22" s="46" t="s">
        <v>136</v>
      </c>
      <c r="C22" s="47">
        <v>160</v>
      </c>
      <c r="D22" s="47" t="s">
        <v>104</v>
      </c>
      <c r="E22" s="47">
        <v>28</v>
      </c>
      <c r="F22" s="47">
        <v>2030</v>
      </c>
      <c r="G22" s="47">
        <v>1200</v>
      </c>
    </row>
    <row r="23" spans="2:7" ht="28.5" x14ac:dyDescent="0.25">
      <c r="B23" s="46" t="s">
        <v>137</v>
      </c>
      <c r="C23" s="47" t="s">
        <v>138</v>
      </c>
      <c r="D23" s="47" t="s">
        <v>104</v>
      </c>
      <c r="E23" s="47">
        <v>28</v>
      </c>
      <c r="F23" s="47">
        <v>2030</v>
      </c>
      <c r="G23" s="47">
        <v>1500</v>
      </c>
    </row>
    <row r="24" spans="2:7" x14ac:dyDescent="0.25">
      <c r="B24" s="46" t="s">
        <v>139</v>
      </c>
      <c r="C24" s="47">
        <v>120</v>
      </c>
      <c r="D24" s="47" t="s">
        <v>100</v>
      </c>
      <c r="E24" s="47" t="s">
        <v>140</v>
      </c>
      <c r="F24" s="47">
        <v>2300</v>
      </c>
      <c r="G24" s="47">
        <v>1200</v>
      </c>
    </row>
    <row r="25" spans="2:7" x14ac:dyDescent="0.25">
      <c r="B25" s="46" t="s">
        <v>141</v>
      </c>
      <c r="C25" s="47">
        <v>160</v>
      </c>
      <c r="D25" s="47" t="s">
        <v>104</v>
      </c>
      <c r="E25" s="47">
        <v>28</v>
      </c>
      <c r="F25" s="47">
        <v>2030</v>
      </c>
      <c r="G25" s="47">
        <v>800</v>
      </c>
    </row>
    <row r="26" spans="2:7" x14ac:dyDescent="0.25">
      <c r="B26" s="49" t="s">
        <v>142</v>
      </c>
    </row>
    <row r="27" spans="2:7" x14ac:dyDescent="0.25">
      <c r="B27" s="51" t="s">
        <v>143</v>
      </c>
      <c r="C27" s="50"/>
      <c r="D27" s="50"/>
    </row>
    <row r="28" spans="2:7" x14ac:dyDescent="0.25">
      <c r="C28" s="52"/>
      <c r="D28" s="52"/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36"/>
  <sheetViews>
    <sheetView workbookViewId="0">
      <selection activeCell="I28" sqref="I28"/>
    </sheetView>
  </sheetViews>
  <sheetFormatPr baseColWidth="10" defaultRowHeight="15.75" x14ac:dyDescent="0.25"/>
  <cols>
    <col min="1" max="1" width="1.7109375" customWidth="1"/>
    <col min="2" max="2" width="5.85546875" customWidth="1"/>
    <col min="3" max="3" width="5.7109375" customWidth="1"/>
    <col min="4" max="20" width="6.7109375" customWidth="1"/>
    <col min="258" max="259" width="5.7109375" customWidth="1"/>
    <col min="260" max="276" width="6.7109375" customWidth="1"/>
    <col min="514" max="515" width="5.7109375" customWidth="1"/>
    <col min="516" max="532" width="6.7109375" customWidth="1"/>
    <col min="770" max="771" width="5.7109375" customWidth="1"/>
    <col min="772" max="788" width="6.7109375" customWidth="1"/>
    <col min="1026" max="1027" width="5.7109375" customWidth="1"/>
    <col min="1028" max="1044" width="6.7109375" customWidth="1"/>
    <col min="1282" max="1283" width="5.7109375" customWidth="1"/>
    <col min="1284" max="1300" width="6.7109375" customWidth="1"/>
    <col min="1538" max="1539" width="5.7109375" customWidth="1"/>
    <col min="1540" max="1556" width="6.7109375" customWidth="1"/>
    <col min="1794" max="1795" width="5.7109375" customWidth="1"/>
    <col min="1796" max="1812" width="6.7109375" customWidth="1"/>
    <col min="2050" max="2051" width="5.7109375" customWidth="1"/>
    <col min="2052" max="2068" width="6.7109375" customWidth="1"/>
    <col min="2306" max="2307" width="5.7109375" customWidth="1"/>
    <col min="2308" max="2324" width="6.7109375" customWidth="1"/>
    <col min="2562" max="2563" width="5.7109375" customWidth="1"/>
    <col min="2564" max="2580" width="6.7109375" customWidth="1"/>
    <col min="2818" max="2819" width="5.7109375" customWidth="1"/>
    <col min="2820" max="2836" width="6.7109375" customWidth="1"/>
    <col min="3074" max="3075" width="5.7109375" customWidth="1"/>
    <col min="3076" max="3092" width="6.7109375" customWidth="1"/>
    <col min="3330" max="3331" width="5.7109375" customWidth="1"/>
    <col min="3332" max="3348" width="6.7109375" customWidth="1"/>
    <col min="3586" max="3587" width="5.7109375" customWidth="1"/>
    <col min="3588" max="3604" width="6.7109375" customWidth="1"/>
    <col min="3842" max="3843" width="5.7109375" customWidth="1"/>
    <col min="3844" max="3860" width="6.7109375" customWidth="1"/>
    <col min="4098" max="4099" width="5.7109375" customWidth="1"/>
    <col min="4100" max="4116" width="6.7109375" customWidth="1"/>
    <col min="4354" max="4355" width="5.7109375" customWidth="1"/>
    <col min="4356" max="4372" width="6.7109375" customWidth="1"/>
    <col min="4610" max="4611" width="5.7109375" customWidth="1"/>
    <col min="4612" max="4628" width="6.7109375" customWidth="1"/>
    <col min="4866" max="4867" width="5.7109375" customWidth="1"/>
    <col min="4868" max="4884" width="6.7109375" customWidth="1"/>
    <col min="5122" max="5123" width="5.7109375" customWidth="1"/>
    <col min="5124" max="5140" width="6.7109375" customWidth="1"/>
    <col min="5378" max="5379" width="5.7109375" customWidth="1"/>
    <col min="5380" max="5396" width="6.7109375" customWidth="1"/>
    <col min="5634" max="5635" width="5.7109375" customWidth="1"/>
    <col min="5636" max="5652" width="6.7109375" customWidth="1"/>
    <col min="5890" max="5891" width="5.7109375" customWidth="1"/>
    <col min="5892" max="5908" width="6.7109375" customWidth="1"/>
    <col min="6146" max="6147" width="5.7109375" customWidth="1"/>
    <col min="6148" max="6164" width="6.7109375" customWidth="1"/>
    <col min="6402" max="6403" width="5.7109375" customWidth="1"/>
    <col min="6404" max="6420" width="6.7109375" customWidth="1"/>
    <col min="6658" max="6659" width="5.7109375" customWidth="1"/>
    <col min="6660" max="6676" width="6.7109375" customWidth="1"/>
    <col min="6914" max="6915" width="5.7109375" customWidth="1"/>
    <col min="6916" max="6932" width="6.7109375" customWidth="1"/>
    <col min="7170" max="7171" width="5.7109375" customWidth="1"/>
    <col min="7172" max="7188" width="6.7109375" customWidth="1"/>
    <col min="7426" max="7427" width="5.7109375" customWidth="1"/>
    <col min="7428" max="7444" width="6.7109375" customWidth="1"/>
    <col min="7682" max="7683" width="5.7109375" customWidth="1"/>
    <col min="7684" max="7700" width="6.7109375" customWidth="1"/>
    <col min="7938" max="7939" width="5.7109375" customWidth="1"/>
    <col min="7940" max="7956" width="6.7109375" customWidth="1"/>
    <col min="8194" max="8195" width="5.7109375" customWidth="1"/>
    <col min="8196" max="8212" width="6.7109375" customWidth="1"/>
    <col min="8450" max="8451" width="5.7109375" customWidth="1"/>
    <col min="8452" max="8468" width="6.7109375" customWidth="1"/>
    <col min="8706" max="8707" width="5.7109375" customWidth="1"/>
    <col min="8708" max="8724" width="6.7109375" customWidth="1"/>
    <col min="8962" max="8963" width="5.7109375" customWidth="1"/>
    <col min="8964" max="8980" width="6.7109375" customWidth="1"/>
    <col min="9218" max="9219" width="5.7109375" customWidth="1"/>
    <col min="9220" max="9236" width="6.7109375" customWidth="1"/>
    <col min="9474" max="9475" width="5.7109375" customWidth="1"/>
    <col min="9476" max="9492" width="6.7109375" customWidth="1"/>
    <col min="9730" max="9731" width="5.7109375" customWidth="1"/>
    <col min="9732" max="9748" width="6.7109375" customWidth="1"/>
    <col min="9986" max="9987" width="5.7109375" customWidth="1"/>
    <col min="9988" max="10004" width="6.7109375" customWidth="1"/>
    <col min="10242" max="10243" width="5.7109375" customWidth="1"/>
    <col min="10244" max="10260" width="6.7109375" customWidth="1"/>
    <col min="10498" max="10499" width="5.7109375" customWidth="1"/>
    <col min="10500" max="10516" width="6.7109375" customWidth="1"/>
    <col min="10754" max="10755" width="5.7109375" customWidth="1"/>
    <col min="10756" max="10772" width="6.7109375" customWidth="1"/>
    <col min="11010" max="11011" width="5.7109375" customWidth="1"/>
    <col min="11012" max="11028" width="6.7109375" customWidth="1"/>
    <col min="11266" max="11267" width="5.7109375" customWidth="1"/>
    <col min="11268" max="11284" width="6.7109375" customWidth="1"/>
    <col min="11522" max="11523" width="5.7109375" customWidth="1"/>
    <col min="11524" max="11540" width="6.7109375" customWidth="1"/>
    <col min="11778" max="11779" width="5.7109375" customWidth="1"/>
    <col min="11780" max="11796" width="6.7109375" customWidth="1"/>
    <col min="12034" max="12035" width="5.7109375" customWidth="1"/>
    <col min="12036" max="12052" width="6.7109375" customWidth="1"/>
    <col min="12290" max="12291" width="5.7109375" customWidth="1"/>
    <col min="12292" max="12308" width="6.7109375" customWidth="1"/>
    <col min="12546" max="12547" width="5.7109375" customWidth="1"/>
    <col min="12548" max="12564" width="6.7109375" customWidth="1"/>
    <col min="12802" max="12803" width="5.7109375" customWidth="1"/>
    <col min="12804" max="12820" width="6.7109375" customWidth="1"/>
    <col min="13058" max="13059" width="5.7109375" customWidth="1"/>
    <col min="13060" max="13076" width="6.7109375" customWidth="1"/>
    <col min="13314" max="13315" width="5.7109375" customWidth="1"/>
    <col min="13316" max="13332" width="6.7109375" customWidth="1"/>
    <col min="13570" max="13571" width="5.7109375" customWidth="1"/>
    <col min="13572" max="13588" width="6.7109375" customWidth="1"/>
    <col min="13826" max="13827" width="5.7109375" customWidth="1"/>
    <col min="13828" max="13844" width="6.7109375" customWidth="1"/>
    <col min="14082" max="14083" width="5.7109375" customWidth="1"/>
    <col min="14084" max="14100" width="6.7109375" customWidth="1"/>
    <col min="14338" max="14339" width="5.7109375" customWidth="1"/>
    <col min="14340" max="14356" width="6.7109375" customWidth="1"/>
    <col min="14594" max="14595" width="5.7109375" customWidth="1"/>
    <col min="14596" max="14612" width="6.7109375" customWidth="1"/>
    <col min="14850" max="14851" width="5.7109375" customWidth="1"/>
    <col min="14852" max="14868" width="6.7109375" customWidth="1"/>
    <col min="15106" max="15107" width="5.7109375" customWidth="1"/>
    <col min="15108" max="15124" width="6.7109375" customWidth="1"/>
    <col min="15362" max="15363" width="5.7109375" customWidth="1"/>
    <col min="15364" max="15380" width="6.7109375" customWidth="1"/>
    <col min="15618" max="15619" width="5.7109375" customWidth="1"/>
    <col min="15620" max="15636" width="6.7109375" customWidth="1"/>
    <col min="15874" max="15875" width="5.7109375" customWidth="1"/>
    <col min="15876" max="15892" width="6.7109375" customWidth="1"/>
    <col min="16130" max="16131" width="5.7109375" customWidth="1"/>
    <col min="16132" max="16148" width="6.7109375" customWidth="1"/>
  </cols>
  <sheetData>
    <row r="1" spans="2:20" ht="9.6" customHeight="1" thickBot="1" x14ac:dyDescent="0.3"/>
    <row r="2" spans="2:20" ht="22.9" customHeight="1" thickBot="1" x14ac:dyDescent="0.3">
      <c r="B2" s="318" t="s">
        <v>46</v>
      </c>
      <c r="C2" s="319"/>
      <c r="D2" s="319"/>
      <c r="E2" s="319"/>
      <c r="F2" s="319"/>
      <c r="G2" s="320"/>
    </row>
    <row r="3" spans="2:20" x14ac:dyDescent="0.25">
      <c r="B3" s="316" t="s">
        <v>47</v>
      </c>
      <c r="C3" s="317"/>
      <c r="D3" s="2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83" t="s">
        <v>12</v>
      </c>
      <c r="L3" s="3" t="s">
        <v>12</v>
      </c>
      <c r="M3" s="3" t="s">
        <v>12</v>
      </c>
      <c r="N3" s="3" t="s">
        <v>12</v>
      </c>
      <c r="O3" s="3" t="s">
        <v>12</v>
      </c>
      <c r="P3" s="3" t="s">
        <v>12</v>
      </c>
      <c r="Q3" s="3" t="s">
        <v>12</v>
      </c>
      <c r="R3" s="3" t="s">
        <v>12</v>
      </c>
      <c r="S3" s="3" t="s">
        <v>12</v>
      </c>
      <c r="T3" s="3" t="s">
        <v>12</v>
      </c>
    </row>
    <row r="4" spans="2:20" ht="22.9" customHeight="1" thickBot="1" x14ac:dyDescent="0.3">
      <c r="B4" s="137" t="s">
        <v>295</v>
      </c>
      <c r="C4" s="138" t="s">
        <v>296</v>
      </c>
      <c r="D4" s="139" t="s">
        <v>294</v>
      </c>
      <c r="E4" s="139" t="s">
        <v>277</v>
      </c>
      <c r="F4" s="139" t="s">
        <v>278</v>
      </c>
      <c r="G4" s="139" t="s">
        <v>48</v>
      </c>
      <c r="H4" s="139" t="s">
        <v>49</v>
      </c>
      <c r="I4" s="139" t="s">
        <v>50</v>
      </c>
      <c r="J4" s="139" t="s">
        <v>51</v>
      </c>
      <c r="K4" s="140" t="s">
        <v>52</v>
      </c>
      <c r="L4" s="139" t="s">
        <v>53</v>
      </c>
      <c r="M4" s="139" t="s">
        <v>54</v>
      </c>
      <c r="N4" s="139" t="s">
        <v>55</v>
      </c>
      <c r="O4" s="139" t="s">
        <v>56</v>
      </c>
      <c r="P4" s="139" t="s">
        <v>57</v>
      </c>
      <c r="Q4" s="139" t="s">
        <v>58</v>
      </c>
      <c r="R4" s="139" t="s">
        <v>59</v>
      </c>
      <c r="S4" s="139" t="s">
        <v>60</v>
      </c>
      <c r="T4" s="139" t="s">
        <v>61</v>
      </c>
    </row>
    <row r="5" spans="2:20" x14ac:dyDescent="0.25">
      <c r="B5" s="109">
        <v>40</v>
      </c>
      <c r="C5" s="110">
        <v>13</v>
      </c>
      <c r="D5" s="85">
        <f>((B5*B5)*3.14159/4*0.36*5)/100</f>
        <v>22.619448000000002</v>
      </c>
      <c r="E5" s="86">
        <f>((B5*B5)*3.14159/4*0.36*10)/100</f>
        <v>45.238896000000004</v>
      </c>
      <c r="F5" s="86">
        <f>((B5*B5)*3.14159/4*0.36*15)/100</f>
        <v>67.858344000000002</v>
      </c>
      <c r="G5" s="86">
        <f>((B5*B5)*3.14159/4*0.36*19)/100</f>
        <v>85.953902400000004</v>
      </c>
      <c r="H5" s="86">
        <f>((B5*B5)*3.14159/4*0.36*20)/100</f>
        <v>90.477792000000008</v>
      </c>
      <c r="I5" s="86">
        <f>((B5*B5)*3.14159/4*0.36*21)/100</f>
        <v>95.001681599999998</v>
      </c>
      <c r="J5" s="86">
        <f>((B5*B5)*3.14159/4*0.36*22)/100</f>
        <v>99.525571200000002</v>
      </c>
      <c r="K5" s="94">
        <f>((B5*B5)*3.14159/4*0.36*23)/100</f>
        <v>104.04946079999999</v>
      </c>
      <c r="L5" s="86">
        <f>((B5*B5)*3.14159/4*0.36*24)/100</f>
        <v>108.5733504</v>
      </c>
      <c r="M5" s="86">
        <f>((B5*B5)*3.14159/4*0.36*25)/100</f>
        <v>113.09724</v>
      </c>
      <c r="N5" s="86">
        <f>((B5*B5)*3.14159/4*0.36*26)/100</f>
        <v>117.6211296</v>
      </c>
      <c r="O5" s="86">
        <f>((B5*B5)*3.14159/4*0.36*27)/100</f>
        <v>122.14501920000001</v>
      </c>
      <c r="P5" s="86">
        <f>((B5*B5)*3.14159/4*0.36*28)/100</f>
        <v>126.6689088</v>
      </c>
      <c r="Q5" s="86">
        <f>((B5*B5)*3.14159/4*0.36*30)/100</f>
        <v>135.716688</v>
      </c>
      <c r="R5" s="86">
        <f>((B5*B5)*3.14159/4*0.36*32)/100</f>
        <v>144.76446720000001</v>
      </c>
      <c r="S5" s="86">
        <f>((B5*B5)*3.14159/4*0.36*35)/100</f>
        <v>158.33613600000001</v>
      </c>
      <c r="T5" s="87">
        <f>((B5*B5)*3.14159/4*0.36*40)/100</f>
        <v>180.95558400000002</v>
      </c>
    </row>
    <row r="6" spans="2:20" x14ac:dyDescent="0.25">
      <c r="B6" s="109">
        <v>50</v>
      </c>
      <c r="C6" s="110">
        <v>20</v>
      </c>
      <c r="D6" s="85">
        <f t="shared" ref="D6:D35" si="0">((B6*B6)*3.14159/4*0.36*5)/100</f>
        <v>35.342887499999996</v>
      </c>
      <c r="E6" s="86">
        <f t="shared" ref="E6:E35" si="1">((B6*B6)*0.785*0.36*10)/100</f>
        <v>70.650000000000006</v>
      </c>
      <c r="F6" s="86">
        <f t="shared" ref="F6:F35" si="2">((B6*B6)*3.14159/4*0.36*15)/100</f>
        <v>106.0286625</v>
      </c>
      <c r="G6" s="86">
        <f t="shared" ref="G6:G35" si="3">((B6*B6)*3.14159/4*0.36*19)/100</f>
        <v>134.30297249999998</v>
      </c>
      <c r="H6" s="86">
        <f t="shared" ref="H6:H35" si="4">((B6*B6)*3.14159/4*0.36*20)/100</f>
        <v>141.37154999999998</v>
      </c>
      <c r="I6" s="86">
        <f t="shared" ref="I6:I35" si="5">((B6*B6)*3.14159/4*0.36*21)/100</f>
        <v>148.44012749999999</v>
      </c>
      <c r="J6" s="86">
        <f t="shared" ref="J6:J35" si="6">((B6*B6)*3.14159/4*0.36*22)/100</f>
        <v>155.50870499999996</v>
      </c>
      <c r="K6" s="94">
        <f t="shared" ref="K6:K35" si="7">((B6*B6)*3.14159/4*0.36*23)/100</f>
        <v>162.5772825</v>
      </c>
      <c r="L6" s="86">
        <f t="shared" ref="L6:L35" si="8">((B6*B6)*3.14159/4*0.36*24)/100</f>
        <v>169.64585999999997</v>
      </c>
      <c r="M6" s="86">
        <f t="shared" ref="M6:M35" si="9">((B6*B6)*3.14159/4*0.36*25)/100</f>
        <v>176.71443749999997</v>
      </c>
      <c r="N6" s="86">
        <f t="shared" ref="N6:N35" si="10">((B6*B6)*3.14159/4*0.36*26)/100</f>
        <v>183.78301499999998</v>
      </c>
      <c r="O6" s="86">
        <f t="shared" ref="O6:O35" si="11">((B6*B6)*3.14159/4*0.36*27)/100</f>
        <v>190.85159249999998</v>
      </c>
      <c r="P6" s="86">
        <f t="shared" ref="P6:P35" si="12">((B6*B6)*3.14159/4*0.36*28)/100</f>
        <v>197.92016999999996</v>
      </c>
      <c r="Q6" s="86">
        <f t="shared" ref="Q6:Q35" si="13">((B6*B6)*3.14159/4*0.36*30)/100</f>
        <v>212.05732499999999</v>
      </c>
      <c r="R6" s="86">
        <f t="shared" ref="R6:R35" si="14">((B6*B6)*3.14159/4*0.36*32)/100</f>
        <v>226.19447999999997</v>
      </c>
      <c r="S6" s="86">
        <f t="shared" ref="S6:S35" si="15">((B6*B6)*3.14159/4*0.36*35)/100</f>
        <v>247.40021249999998</v>
      </c>
      <c r="T6" s="87">
        <f t="shared" ref="T6:T35" si="16">((B6*B6)*3.14159/4*0.36*40)/100</f>
        <v>282.74309999999997</v>
      </c>
    </row>
    <row r="7" spans="2:20" x14ac:dyDescent="0.25">
      <c r="B7" s="109">
        <v>60</v>
      </c>
      <c r="C7" s="110">
        <v>28</v>
      </c>
      <c r="D7" s="85">
        <f t="shared" si="0"/>
        <v>50.893757999999998</v>
      </c>
      <c r="E7" s="86">
        <f t="shared" si="1"/>
        <v>101.736</v>
      </c>
      <c r="F7" s="86">
        <f t="shared" si="2"/>
        <v>152.681274</v>
      </c>
      <c r="G7" s="86">
        <f t="shared" si="3"/>
        <v>193.39628039999999</v>
      </c>
      <c r="H7" s="86">
        <f t="shared" si="4"/>
        <v>203.57503199999999</v>
      </c>
      <c r="I7" s="86">
        <f t="shared" si="5"/>
        <v>213.75378359999999</v>
      </c>
      <c r="J7" s="86">
        <f t="shared" si="6"/>
        <v>223.93253519999999</v>
      </c>
      <c r="K7" s="94">
        <f t="shared" si="7"/>
        <v>234.11128679999999</v>
      </c>
      <c r="L7" s="86">
        <f t="shared" si="8"/>
        <v>244.29003839999999</v>
      </c>
      <c r="M7" s="86">
        <f t="shared" si="9"/>
        <v>254.46878999999998</v>
      </c>
      <c r="N7" s="86">
        <f t="shared" si="10"/>
        <v>264.64754159999995</v>
      </c>
      <c r="O7" s="86">
        <f t="shared" si="11"/>
        <v>274.82629320000001</v>
      </c>
      <c r="P7" s="86">
        <f t="shared" si="12"/>
        <v>285.00504480000001</v>
      </c>
      <c r="Q7" s="86">
        <f t="shared" si="13"/>
        <v>305.362548</v>
      </c>
      <c r="R7" s="86">
        <f t="shared" si="14"/>
        <v>325.7200512</v>
      </c>
      <c r="S7" s="86">
        <f t="shared" si="15"/>
        <v>356.256306</v>
      </c>
      <c r="T7" s="87">
        <f t="shared" si="16"/>
        <v>407.15006399999999</v>
      </c>
    </row>
    <row r="8" spans="2:20" x14ac:dyDescent="0.25">
      <c r="B8" s="109">
        <v>80</v>
      </c>
      <c r="C8" s="110">
        <v>50</v>
      </c>
      <c r="D8" s="85">
        <f t="shared" si="0"/>
        <v>90.477792000000008</v>
      </c>
      <c r="E8" s="86">
        <f t="shared" si="1"/>
        <v>180.86399999999998</v>
      </c>
      <c r="F8" s="86">
        <f t="shared" si="2"/>
        <v>271.43337600000001</v>
      </c>
      <c r="G8" s="86">
        <f t="shared" si="3"/>
        <v>343.81560960000002</v>
      </c>
      <c r="H8" s="86">
        <f t="shared" si="4"/>
        <v>361.91116800000003</v>
      </c>
      <c r="I8" s="86">
        <f t="shared" si="5"/>
        <v>380.00672639999999</v>
      </c>
      <c r="J8" s="86">
        <f t="shared" si="6"/>
        <v>398.10228480000001</v>
      </c>
      <c r="K8" s="94">
        <f t="shared" si="7"/>
        <v>416.19784319999997</v>
      </c>
      <c r="L8" s="86">
        <f t="shared" si="8"/>
        <v>434.29340159999998</v>
      </c>
      <c r="M8" s="86">
        <f t="shared" si="9"/>
        <v>452.38896</v>
      </c>
      <c r="N8" s="86">
        <f t="shared" si="10"/>
        <v>470.48451840000001</v>
      </c>
      <c r="O8" s="86">
        <f t="shared" si="11"/>
        <v>488.58007680000003</v>
      </c>
      <c r="P8" s="86">
        <f t="shared" si="12"/>
        <v>506.67563519999999</v>
      </c>
      <c r="Q8" s="86">
        <f t="shared" si="13"/>
        <v>542.86675200000002</v>
      </c>
      <c r="R8" s="86">
        <f t="shared" si="14"/>
        <v>579.05786880000005</v>
      </c>
      <c r="S8" s="86">
        <f t="shared" si="15"/>
        <v>633.34454400000004</v>
      </c>
      <c r="T8" s="87">
        <f t="shared" si="16"/>
        <v>723.82233600000006</v>
      </c>
    </row>
    <row r="9" spans="2:20" x14ac:dyDescent="0.25">
      <c r="B9" s="111">
        <v>90</v>
      </c>
      <c r="C9" s="112">
        <v>64</v>
      </c>
      <c r="D9" s="91">
        <f t="shared" si="0"/>
        <v>114.51095549999999</v>
      </c>
      <c r="E9" s="92">
        <f t="shared" si="1"/>
        <v>228.90599999999998</v>
      </c>
      <c r="F9" s="92">
        <f t="shared" si="2"/>
        <v>343.53286650000001</v>
      </c>
      <c r="G9" s="92">
        <f t="shared" si="3"/>
        <v>435.1416309</v>
      </c>
      <c r="H9" s="92">
        <f t="shared" si="4"/>
        <v>458.04382199999998</v>
      </c>
      <c r="I9" s="92">
        <f t="shared" si="5"/>
        <v>480.94601309999996</v>
      </c>
      <c r="J9" s="92">
        <f t="shared" si="6"/>
        <v>503.84820420000005</v>
      </c>
      <c r="K9" s="95">
        <f t="shared" si="7"/>
        <v>526.75039530000004</v>
      </c>
      <c r="L9" s="92">
        <f t="shared" si="8"/>
        <v>549.65258640000002</v>
      </c>
      <c r="M9" s="92">
        <f t="shared" si="9"/>
        <v>572.5547775</v>
      </c>
      <c r="N9" s="92">
        <f t="shared" si="10"/>
        <v>595.45696859999998</v>
      </c>
      <c r="O9" s="92">
        <f t="shared" si="11"/>
        <v>618.35915969999996</v>
      </c>
      <c r="P9" s="92">
        <f t="shared" si="12"/>
        <v>641.26135079999995</v>
      </c>
      <c r="Q9" s="92">
        <f t="shared" si="13"/>
        <v>687.06573300000002</v>
      </c>
      <c r="R9" s="92">
        <f t="shared" si="14"/>
        <v>732.87011519999999</v>
      </c>
      <c r="S9" s="92">
        <f t="shared" si="15"/>
        <v>801.57668850000005</v>
      </c>
      <c r="T9" s="93">
        <f t="shared" si="16"/>
        <v>916.08764399999995</v>
      </c>
    </row>
    <row r="10" spans="2:20" x14ac:dyDescent="0.25">
      <c r="B10" s="109">
        <v>100</v>
      </c>
      <c r="C10" s="110">
        <v>79</v>
      </c>
      <c r="D10" s="85">
        <f t="shared" si="0"/>
        <v>141.37154999999998</v>
      </c>
      <c r="E10" s="86">
        <f t="shared" si="1"/>
        <v>282.60000000000002</v>
      </c>
      <c r="F10" s="86">
        <f t="shared" si="2"/>
        <v>424.11464999999998</v>
      </c>
      <c r="G10" s="86">
        <f t="shared" si="3"/>
        <v>537.21188999999993</v>
      </c>
      <c r="H10" s="86">
        <f t="shared" si="4"/>
        <v>565.48619999999994</v>
      </c>
      <c r="I10" s="86">
        <f t="shared" si="5"/>
        <v>593.76050999999995</v>
      </c>
      <c r="J10" s="86">
        <f t="shared" si="6"/>
        <v>622.03481999999985</v>
      </c>
      <c r="K10" s="94">
        <f t="shared" si="7"/>
        <v>650.30912999999998</v>
      </c>
      <c r="L10" s="86">
        <f t="shared" si="8"/>
        <v>678.58343999999988</v>
      </c>
      <c r="M10" s="86">
        <f t="shared" si="9"/>
        <v>706.8577499999999</v>
      </c>
      <c r="N10" s="86">
        <f t="shared" si="10"/>
        <v>735.13205999999991</v>
      </c>
      <c r="O10" s="86">
        <f t="shared" si="11"/>
        <v>763.40636999999992</v>
      </c>
      <c r="P10" s="86">
        <f t="shared" si="12"/>
        <v>791.68067999999982</v>
      </c>
      <c r="Q10" s="86">
        <f t="shared" si="13"/>
        <v>848.22929999999997</v>
      </c>
      <c r="R10" s="86">
        <f t="shared" si="14"/>
        <v>904.77791999999988</v>
      </c>
      <c r="S10" s="86">
        <f t="shared" si="15"/>
        <v>989.60084999999992</v>
      </c>
      <c r="T10" s="87">
        <f t="shared" si="16"/>
        <v>1130.9723999999999</v>
      </c>
    </row>
    <row r="11" spans="2:20" x14ac:dyDescent="0.25">
      <c r="B11" s="109">
        <v>120</v>
      </c>
      <c r="C11" s="110">
        <v>113</v>
      </c>
      <c r="D11" s="85">
        <f t="shared" si="0"/>
        <v>203.57503199999999</v>
      </c>
      <c r="E11" s="86">
        <f t="shared" si="1"/>
        <v>406.94400000000002</v>
      </c>
      <c r="F11" s="86">
        <f t="shared" si="2"/>
        <v>610.72509600000001</v>
      </c>
      <c r="G11" s="86">
        <f t="shared" si="3"/>
        <v>773.58512159999998</v>
      </c>
      <c r="H11" s="86">
        <f t="shared" si="4"/>
        <v>814.30012799999997</v>
      </c>
      <c r="I11" s="86">
        <f t="shared" si="5"/>
        <v>855.01513439999997</v>
      </c>
      <c r="J11" s="86">
        <f t="shared" si="6"/>
        <v>895.73014079999996</v>
      </c>
      <c r="K11" s="94">
        <f t="shared" si="7"/>
        <v>936.44514719999995</v>
      </c>
      <c r="L11" s="86">
        <f t="shared" si="8"/>
        <v>977.16015359999994</v>
      </c>
      <c r="M11" s="86">
        <f t="shared" si="9"/>
        <v>1017.8751599999999</v>
      </c>
      <c r="N11" s="86">
        <f t="shared" si="10"/>
        <v>1058.5901663999998</v>
      </c>
      <c r="O11" s="86">
        <f t="shared" si="11"/>
        <v>1099.3051728</v>
      </c>
      <c r="P11" s="86">
        <f t="shared" si="12"/>
        <v>1140.0201792</v>
      </c>
      <c r="Q11" s="86">
        <f t="shared" si="13"/>
        <v>1221.450192</v>
      </c>
      <c r="R11" s="86">
        <f t="shared" si="14"/>
        <v>1302.8802048</v>
      </c>
      <c r="S11" s="86">
        <f t="shared" si="15"/>
        <v>1425.025224</v>
      </c>
      <c r="T11" s="87">
        <f t="shared" si="16"/>
        <v>1628.6002559999999</v>
      </c>
    </row>
    <row r="12" spans="2:20" x14ac:dyDescent="0.25">
      <c r="B12" s="109">
        <v>125</v>
      </c>
      <c r="C12" s="110">
        <v>123</v>
      </c>
      <c r="D12" s="85">
        <f t="shared" si="0"/>
        <v>220.89304687500001</v>
      </c>
      <c r="E12" s="86">
        <f t="shared" si="1"/>
        <v>441.5625</v>
      </c>
      <c r="F12" s="86">
        <f t="shared" si="2"/>
        <v>662.67914062499995</v>
      </c>
      <c r="G12" s="86">
        <f t="shared" si="3"/>
        <v>839.39357812499986</v>
      </c>
      <c r="H12" s="86">
        <f t="shared" si="4"/>
        <v>883.57218750000004</v>
      </c>
      <c r="I12" s="86">
        <f t="shared" si="5"/>
        <v>927.75079687499999</v>
      </c>
      <c r="J12" s="86">
        <f t="shared" si="6"/>
        <v>971.92940624999983</v>
      </c>
      <c r="K12" s="94">
        <f t="shared" si="7"/>
        <v>1016.108015625</v>
      </c>
      <c r="L12" s="86">
        <f t="shared" si="8"/>
        <v>1060.286625</v>
      </c>
      <c r="M12" s="86">
        <f t="shared" si="9"/>
        <v>1104.4652343749999</v>
      </c>
      <c r="N12" s="86">
        <f t="shared" si="10"/>
        <v>1148.6438437499999</v>
      </c>
      <c r="O12" s="86">
        <f t="shared" si="11"/>
        <v>1192.8224531249998</v>
      </c>
      <c r="P12" s="86">
        <f t="shared" si="12"/>
        <v>1237.0010624999998</v>
      </c>
      <c r="Q12" s="86">
        <f t="shared" si="13"/>
        <v>1325.3582812499999</v>
      </c>
      <c r="R12" s="86">
        <f t="shared" si="14"/>
        <v>1413.7154999999998</v>
      </c>
      <c r="S12" s="86">
        <f t="shared" si="15"/>
        <v>1546.2513281250001</v>
      </c>
      <c r="T12" s="87">
        <f t="shared" si="16"/>
        <v>1767.1443750000001</v>
      </c>
    </row>
    <row r="13" spans="2:20" x14ac:dyDescent="0.25">
      <c r="B13" s="109">
        <v>130</v>
      </c>
      <c r="C13" s="110">
        <v>133</v>
      </c>
      <c r="D13" s="85">
        <f t="shared" si="0"/>
        <v>238.91791949999998</v>
      </c>
      <c r="E13" s="86">
        <f t="shared" si="1"/>
        <v>477.59399999999994</v>
      </c>
      <c r="F13" s="86">
        <f t="shared" si="2"/>
        <v>716.7537585</v>
      </c>
      <c r="G13" s="86">
        <f t="shared" si="3"/>
        <v>907.88809409999988</v>
      </c>
      <c r="H13" s="86">
        <f t="shared" si="4"/>
        <v>955.67167799999993</v>
      </c>
      <c r="I13" s="86">
        <f t="shared" si="5"/>
        <v>1003.4552618999999</v>
      </c>
      <c r="J13" s="86">
        <f t="shared" si="6"/>
        <v>1051.2388457999998</v>
      </c>
      <c r="K13" s="94">
        <f t="shared" si="7"/>
        <v>1099.0224297</v>
      </c>
      <c r="L13" s="86">
        <f t="shared" si="8"/>
        <v>1146.8060135999999</v>
      </c>
      <c r="M13" s="86">
        <f t="shared" si="9"/>
        <v>1194.5895974999999</v>
      </c>
      <c r="N13" s="86">
        <f t="shared" si="10"/>
        <v>1242.3731813999998</v>
      </c>
      <c r="O13" s="86">
        <f t="shared" si="11"/>
        <v>1290.1567652999997</v>
      </c>
      <c r="P13" s="86">
        <f t="shared" si="12"/>
        <v>1337.9403491999997</v>
      </c>
      <c r="Q13" s="86">
        <f t="shared" si="13"/>
        <v>1433.507517</v>
      </c>
      <c r="R13" s="86">
        <f t="shared" si="14"/>
        <v>1529.0746847999999</v>
      </c>
      <c r="S13" s="86">
        <f t="shared" si="15"/>
        <v>1672.4254364999997</v>
      </c>
      <c r="T13" s="87">
        <f t="shared" si="16"/>
        <v>1911.3433559999999</v>
      </c>
    </row>
    <row r="14" spans="2:20" x14ac:dyDescent="0.25">
      <c r="B14" s="109">
        <v>140</v>
      </c>
      <c r="C14" s="110">
        <v>154</v>
      </c>
      <c r="D14" s="85">
        <f t="shared" si="0"/>
        <v>277.08823799999993</v>
      </c>
      <c r="E14" s="86">
        <f t="shared" si="1"/>
        <v>553.89599999999996</v>
      </c>
      <c r="F14" s="86">
        <f t="shared" si="2"/>
        <v>831.2647139999998</v>
      </c>
      <c r="G14" s="86">
        <f t="shared" si="3"/>
        <v>1052.9353043999999</v>
      </c>
      <c r="H14" s="86">
        <f t="shared" si="4"/>
        <v>1108.3529519999997</v>
      </c>
      <c r="I14" s="86">
        <f t="shared" si="5"/>
        <v>1163.7705995999997</v>
      </c>
      <c r="J14" s="86">
        <f t="shared" si="6"/>
        <v>1219.1882471999998</v>
      </c>
      <c r="K14" s="94">
        <f t="shared" si="7"/>
        <v>1274.6058947999998</v>
      </c>
      <c r="L14" s="86">
        <f t="shared" si="8"/>
        <v>1330.0235423999998</v>
      </c>
      <c r="M14" s="86">
        <f t="shared" si="9"/>
        <v>1385.4411899999998</v>
      </c>
      <c r="N14" s="86">
        <f t="shared" si="10"/>
        <v>1440.8588375999998</v>
      </c>
      <c r="O14" s="86">
        <f t="shared" si="11"/>
        <v>1496.2764851999998</v>
      </c>
      <c r="P14" s="86">
        <f t="shared" si="12"/>
        <v>1551.6941327999998</v>
      </c>
      <c r="Q14" s="86">
        <f t="shared" si="13"/>
        <v>1662.5294279999996</v>
      </c>
      <c r="R14" s="86">
        <f t="shared" si="14"/>
        <v>1773.3647231999996</v>
      </c>
      <c r="S14" s="86">
        <f t="shared" si="15"/>
        <v>1939.6176659999996</v>
      </c>
      <c r="T14" s="87">
        <f t="shared" si="16"/>
        <v>2216.7059039999995</v>
      </c>
    </row>
    <row r="15" spans="2:20" x14ac:dyDescent="0.25">
      <c r="B15" s="109">
        <v>150</v>
      </c>
      <c r="C15" s="110">
        <v>177</v>
      </c>
      <c r="D15" s="85">
        <f t="shared" si="0"/>
        <v>318.08598749999999</v>
      </c>
      <c r="E15" s="86">
        <f t="shared" si="1"/>
        <v>635.85</v>
      </c>
      <c r="F15" s="86">
        <f t="shared" si="2"/>
        <v>954.25796249999985</v>
      </c>
      <c r="G15" s="86">
        <f t="shared" si="3"/>
        <v>1208.7267524999997</v>
      </c>
      <c r="H15" s="86">
        <f t="shared" si="4"/>
        <v>1272.3439499999999</v>
      </c>
      <c r="I15" s="86">
        <f t="shared" si="5"/>
        <v>1335.9611474999997</v>
      </c>
      <c r="J15" s="86">
        <f t="shared" si="6"/>
        <v>1399.5783449999999</v>
      </c>
      <c r="K15" s="94">
        <f t="shared" si="7"/>
        <v>1463.1955424999999</v>
      </c>
      <c r="L15" s="86">
        <f t="shared" si="8"/>
        <v>1526.8127399999998</v>
      </c>
      <c r="M15" s="86">
        <f t="shared" si="9"/>
        <v>1590.4299375000001</v>
      </c>
      <c r="N15" s="86">
        <f t="shared" si="10"/>
        <v>1654.0471349999998</v>
      </c>
      <c r="O15" s="86">
        <f t="shared" si="11"/>
        <v>1717.6643324999998</v>
      </c>
      <c r="P15" s="86">
        <f t="shared" si="12"/>
        <v>1781.28153</v>
      </c>
      <c r="Q15" s="86">
        <f t="shared" si="13"/>
        <v>1908.5159249999997</v>
      </c>
      <c r="R15" s="86">
        <f t="shared" si="14"/>
        <v>2035.7503199999999</v>
      </c>
      <c r="S15" s="86">
        <f t="shared" si="15"/>
        <v>2226.6019124999998</v>
      </c>
      <c r="T15" s="87">
        <f t="shared" si="16"/>
        <v>2544.6878999999999</v>
      </c>
    </row>
    <row r="16" spans="2:20" x14ac:dyDescent="0.25">
      <c r="B16" s="109">
        <v>160</v>
      </c>
      <c r="C16" s="110">
        <v>201</v>
      </c>
      <c r="D16" s="85">
        <f t="shared" si="0"/>
        <v>361.91116800000003</v>
      </c>
      <c r="E16" s="86">
        <f t="shared" si="1"/>
        <v>723.4559999999999</v>
      </c>
      <c r="F16" s="86">
        <f t="shared" si="2"/>
        <v>1085.733504</v>
      </c>
      <c r="G16" s="86">
        <f t="shared" si="3"/>
        <v>1375.2624384000001</v>
      </c>
      <c r="H16" s="86">
        <f t="shared" si="4"/>
        <v>1447.6446720000001</v>
      </c>
      <c r="I16" s="86">
        <f t="shared" si="5"/>
        <v>1520.0269056</v>
      </c>
      <c r="J16" s="86">
        <f t="shared" si="6"/>
        <v>1592.4091392</v>
      </c>
      <c r="K16" s="94">
        <f t="shared" si="7"/>
        <v>1664.7913727999999</v>
      </c>
      <c r="L16" s="86">
        <f t="shared" si="8"/>
        <v>1737.1736063999999</v>
      </c>
      <c r="M16" s="86">
        <f t="shared" si="9"/>
        <v>1809.55584</v>
      </c>
      <c r="N16" s="86">
        <f t="shared" si="10"/>
        <v>1881.9380736000001</v>
      </c>
      <c r="O16" s="86">
        <f t="shared" si="11"/>
        <v>1954.3203072000001</v>
      </c>
      <c r="P16" s="86">
        <f t="shared" si="12"/>
        <v>2026.7025408</v>
      </c>
      <c r="Q16" s="86">
        <f t="shared" si="13"/>
        <v>2171.4670080000001</v>
      </c>
      <c r="R16" s="86">
        <f t="shared" si="14"/>
        <v>2316.2314752000002</v>
      </c>
      <c r="S16" s="86">
        <f t="shared" si="15"/>
        <v>2533.3781760000002</v>
      </c>
      <c r="T16" s="87">
        <f t="shared" si="16"/>
        <v>2895.2893440000003</v>
      </c>
    </row>
    <row r="17" spans="2:20" x14ac:dyDescent="0.25">
      <c r="B17" s="111">
        <v>180</v>
      </c>
      <c r="C17" s="112">
        <v>254</v>
      </c>
      <c r="D17" s="91">
        <f t="shared" si="0"/>
        <v>458.04382199999998</v>
      </c>
      <c r="E17" s="92">
        <f t="shared" si="1"/>
        <v>915.62399999999991</v>
      </c>
      <c r="F17" s="92">
        <f t="shared" si="2"/>
        <v>1374.131466</v>
      </c>
      <c r="G17" s="92">
        <f t="shared" si="3"/>
        <v>1740.5665236</v>
      </c>
      <c r="H17" s="92">
        <f t="shared" si="4"/>
        <v>1832.1752879999999</v>
      </c>
      <c r="I17" s="92">
        <f t="shared" si="5"/>
        <v>1923.7840523999998</v>
      </c>
      <c r="J17" s="92">
        <f t="shared" si="6"/>
        <v>2015.3928168000002</v>
      </c>
      <c r="K17" s="95">
        <f t="shared" si="7"/>
        <v>2107.0015812000001</v>
      </c>
      <c r="L17" s="92">
        <f t="shared" si="8"/>
        <v>2198.6103456000001</v>
      </c>
      <c r="M17" s="92">
        <f t="shared" si="9"/>
        <v>2290.21911</v>
      </c>
      <c r="N17" s="92">
        <f t="shared" si="10"/>
        <v>2381.8278743999999</v>
      </c>
      <c r="O17" s="92">
        <f t="shared" si="11"/>
        <v>2473.4366387999999</v>
      </c>
      <c r="P17" s="92">
        <f t="shared" si="12"/>
        <v>2565.0454031999998</v>
      </c>
      <c r="Q17" s="92">
        <f t="shared" si="13"/>
        <v>2748.2629320000001</v>
      </c>
      <c r="R17" s="92">
        <f t="shared" si="14"/>
        <v>2931.4804607999999</v>
      </c>
      <c r="S17" s="92">
        <f t="shared" si="15"/>
        <v>3206.3067540000002</v>
      </c>
      <c r="T17" s="93">
        <f t="shared" si="16"/>
        <v>3664.3505759999998</v>
      </c>
    </row>
    <row r="18" spans="2:20" x14ac:dyDescent="0.25">
      <c r="B18" s="109">
        <v>200</v>
      </c>
      <c r="C18" s="110">
        <v>314</v>
      </c>
      <c r="D18" s="85">
        <f t="shared" si="0"/>
        <v>565.48619999999994</v>
      </c>
      <c r="E18" s="86">
        <f t="shared" si="1"/>
        <v>1130.4000000000001</v>
      </c>
      <c r="F18" s="86">
        <f t="shared" si="2"/>
        <v>1696.4585999999999</v>
      </c>
      <c r="G18" s="86">
        <f t="shared" si="3"/>
        <v>2148.8475599999997</v>
      </c>
      <c r="H18" s="86">
        <f t="shared" si="4"/>
        <v>2261.9447999999998</v>
      </c>
      <c r="I18" s="86">
        <f t="shared" si="5"/>
        <v>2375.0420399999998</v>
      </c>
      <c r="J18" s="86">
        <f t="shared" si="6"/>
        <v>2488.1392799999994</v>
      </c>
      <c r="K18" s="94">
        <f t="shared" si="7"/>
        <v>2601.2365199999999</v>
      </c>
      <c r="L18" s="86">
        <f t="shared" si="8"/>
        <v>2714.3337599999995</v>
      </c>
      <c r="M18" s="86">
        <f t="shared" si="9"/>
        <v>2827.4309999999996</v>
      </c>
      <c r="N18" s="86">
        <f t="shared" si="10"/>
        <v>2940.5282399999996</v>
      </c>
      <c r="O18" s="86">
        <f t="shared" si="11"/>
        <v>3053.6254799999997</v>
      </c>
      <c r="P18" s="86">
        <f t="shared" si="12"/>
        <v>3166.7227199999993</v>
      </c>
      <c r="Q18" s="86">
        <f t="shared" si="13"/>
        <v>3392.9171999999999</v>
      </c>
      <c r="R18" s="86">
        <f t="shared" si="14"/>
        <v>3619.1116799999995</v>
      </c>
      <c r="S18" s="86">
        <f t="shared" si="15"/>
        <v>3958.4033999999997</v>
      </c>
      <c r="T18" s="87">
        <f t="shared" si="16"/>
        <v>4523.8895999999995</v>
      </c>
    </row>
    <row r="19" spans="2:20" x14ac:dyDescent="0.25">
      <c r="B19" s="109">
        <v>225</v>
      </c>
      <c r="C19" s="110">
        <v>394</v>
      </c>
      <c r="D19" s="85">
        <f t="shared" si="0"/>
        <v>715.693471875</v>
      </c>
      <c r="E19" s="86">
        <f t="shared" si="1"/>
        <v>1430.6624999999999</v>
      </c>
      <c r="F19" s="86">
        <f t="shared" si="2"/>
        <v>2147.0804156250001</v>
      </c>
      <c r="G19" s="86">
        <f t="shared" si="3"/>
        <v>2719.6351931249997</v>
      </c>
      <c r="H19" s="86">
        <f t="shared" si="4"/>
        <v>2862.7738875</v>
      </c>
      <c r="I19" s="86">
        <f t="shared" si="5"/>
        <v>3005.9125818749999</v>
      </c>
      <c r="J19" s="86">
        <f t="shared" si="6"/>
        <v>3149.0512762499998</v>
      </c>
      <c r="K19" s="94">
        <f t="shared" si="7"/>
        <v>3292.1899706249997</v>
      </c>
      <c r="L19" s="86">
        <f t="shared" si="8"/>
        <v>3435.328665</v>
      </c>
      <c r="M19" s="86">
        <f t="shared" si="9"/>
        <v>3578.4673593749994</v>
      </c>
      <c r="N19" s="86">
        <f t="shared" si="10"/>
        <v>3721.6060537499998</v>
      </c>
      <c r="O19" s="86">
        <f t="shared" si="11"/>
        <v>3864.7447481250001</v>
      </c>
      <c r="P19" s="86">
        <f t="shared" si="12"/>
        <v>4007.8834424999995</v>
      </c>
      <c r="Q19" s="86">
        <f t="shared" si="13"/>
        <v>4294.1608312500002</v>
      </c>
      <c r="R19" s="86">
        <f t="shared" si="14"/>
        <v>4580.43822</v>
      </c>
      <c r="S19" s="86">
        <f t="shared" si="15"/>
        <v>5009.8543031250001</v>
      </c>
      <c r="T19" s="87">
        <f t="shared" si="16"/>
        <v>5725.547775</v>
      </c>
    </row>
    <row r="20" spans="2:20" x14ac:dyDescent="0.25">
      <c r="B20" s="109">
        <v>250</v>
      </c>
      <c r="C20" s="110">
        <v>491</v>
      </c>
      <c r="D20" s="85">
        <f t="shared" si="0"/>
        <v>883.57218750000004</v>
      </c>
      <c r="E20" s="86">
        <f t="shared" si="1"/>
        <v>1766.25</v>
      </c>
      <c r="F20" s="86">
        <f t="shared" si="2"/>
        <v>2650.7165624999998</v>
      </c>
      <c r="G20" s="86">
        <f t="shared" si="3"/>
        <v>3357.5743124999995</v>
      </c>
      <c r="H20" s="86">
        <f t="shared" si="4"/>
        <v>3534.2887500000002</v>
      </c>
      <c r="I20" s="86">
        <f t="shared" si="5"/>
        <v>3711.0031875</v>
      </c>
      <c r="J20" s="86">
        <f t="shared" si="6"/>
        <v>3887.7176249999993</v>
      </c>
      <c r="K20" s="94">
        <f t="shared" si="7"/>
        <v>4064.4320625</v>
      </c>
      <c r="L20" s="86">
        <f t="shared" si="8"/>
        <v>4241.1464999999998</v>
      </c>
      <c r="M20" s="86">
        <f t="shared" si="9"/>
        <v>4417.8609374999996</v>
      </c>
      <c r="N20" s="86">
        <f t="shared" si="10"/>
        <v>4594.5753749999994</v>
      </c>
      <c r="O20" s="86">
        <f t="shared" si="11"/>
        <v>4771.2898124999992</v>
      </c>
      <c r="P20" s="86">
        <f t="shared" si="12"/>
        <v>4948.004249999999</v>
      </c>
      <c r="Q20" s="86">
        <f t="shared" si="13"/>
        <v>5301.4331249999996</v>
      </c>
      <c r="R20" s="86">
        <f t="shared" si="14"/>
        <v>5654.8619999999992</v>
      </c>
      <c r="S20" s="86">
        <f t="shared" si="15"/>
        <v>6185.0053125000004</v>
      </c>
      <c r="T20" s="87">
        <f t="shared" si="16"/>
        <v>7068.5775000000003</v>
      </c>
    </row>
    <row r="21" spans="2:20" x14ac:dyDescent="0.25">
      <c r="B21" s="111">
        <v>280</v>
      </c>
      <c r="C21" s="112">
        <v>616</v>
      </c>
      <c r="D21" s="91">
        <f t="shared" si="0"/>
        <v>1108.3529519999997</v>
      </c>
      <c r="E21" s="92">
        <f t="shared" si="1"/>
        <v>2215.5839999999998</v>
      </c>
      <c r="F21" s="92">
        <f t="shared" si="2"/>
        <v>3325.0588559999992</v>
      </c>
      <c r="G21" s="92">
        <f t="shared" si="3"/>
        <v>4211.7412175999998</v>
      </c>
      <c r="H21" s="92">
        <f t="shared" si="4"/>
        <v>4433.4118079999989</v>
      </c>
      <c r="I21" s="92">
        <f t="shared" si="5"/>
        <v>4655.082398399999</v>
      </c>
      <c r="J21" s="92">
        <f t="shared" si="6"/>
        <v>4876.752988799999</v>
      </c>
      <c r="K21" s="95">
        <f t="shared" si="7"/>
        <v>5098.423579199999</v>
      </c>
      <c r="L21" s="92">
        <f t="shared" si="8"/>
        <v>5320.0941695999991</v>
      </c>
      <c r="M21" s="92">
        <f t="shared" si="9"/>
        <v>5541.7647599999991</v>
      </c>
      <c r="N21" s="92">
        <f t="shared" si="10"/>
        <v>5763.4353503999992</v>
      </c>
      <c r="O21" s="92">
        <f t="shared" si="11"/>
        <v>5985.1059407999992</v>
      </c>
      <c r="P21" s="92">
        <f t="shared" si="12"/>
        <v>6206.7765311999992</v>
      </c>
      <c r="Q21" s="92">
        <f t="shared" si="13"/>
        <v>6650.1177119999984</v>
      </c>
      <c r="R21" s="92">
        <f t="shared" si="14"/>
        <v>7093.4588927999985</v>
      </c>
      <c r="S21" s="92">
        <f t="shared" si="15"/>
        <v>7758.4706639999986</v>
      </c>
      <c r="T21" s="93">
        <f t="shared" si="16"/>
        <v>8866.8236159999979</v>
      </c>
    </row>
    <row r="22" spans="2:20" x14ac:dyDescent="0.25">
      <c r="B22" s="109">
        <v>300</v>
      </c>
      <c r="C22" s="110">
        <v>707</v>
      </c>
      <c r="D22" s="85">
        <f t="shared" si="0"/>
        <v>1272.3439499999999</v>
      </c>
      <c r="E22" s="86">
        <f t="shared" si="1"/>
        <v>2543.4</v>
      </c>
      <c r="F22" s="86">
        <f t="shared" si="2"/>
        <v>3817.0318499999994</v>
      </c>
      <c r="G22" s="86">
        <f t="shared" si="3"/>
        <v>4834.907009999999</v>
      </c>
      <c r="H22" s="86">
        <f t="shared" si="4"/>
        <v>5089.3757999999998</v>
      </c>
      <c r="I22" s="86">
        <f t="shared" si="5"/>
        <v>5343.8445899999988</v>
      </c>
      <c r="J22" s="86">
        <f t="shared" si="6"/>
        <v>5598.3133799999996</v>
      </c>
      <c r="K22" s="94">
        <f t="shared" si="7"/>
        <v>5852.7821699999995</v>
      </c>
      <c r="L22" s="86">
        <f t="shared" si="8"/>
        <v>6107.2509599999994</v>
      </c>
      <c r="M22" s="86">
        <f t="shared" si="9"/>
        <v>6361.7197500000002</v>
      </c>
      <c r="N22" s="86">
        <f t="shared" si="10"/>
        <v>6616.1885399999992</v>
      </c>
      <c r="O22" s="86">
        <f t="shared" si="11"/>
        <v>6870.6573299999991</v>
      </c>
      <c r="P22" s="86">
        <f t="shared" si="12"/>
        <v>7125.1261199999999</v>
      </c>
      <c r="Q22" s="86">
        <f t="shared" si="13"/>
        <v>7634.0636999999988</v>
      </c>
      <c r="R22" s="86">
        <f t="shared" si="14"/>
        <v>8143.0012799999995</v>
      </c>
      <c r="S22" s="86">
        <f t="shared" si="15"/>
        <v>8906.4076499999992</v>
      </c>
      <c r="T22" s="87">
        <f t="shared" si="16"/>
        <v>10178.7516</v>
      </c>
    </row>
    <row r="23" spans="2:20" x14ac:dyDescent="0.25">
      <c r="B23" s="109">
        <v>315</v>
      </c>
      <c r="C23" s="110">
        <v>779</v>
      </c>
      <c r="D23" s="85">
        <f t="shared" si="0"/>
        <v>1402.759204875</v>
      </c>
      <c r="E23" s="86">
        <f t="shared" si="1"/>
        <v>2804.0984999999996</v>
      </c>
      <c r="F23" s="86">
        <f t="shared" si="2"/>
        <v>4208.2776146249998</v>
      </c>
      <c r="G23" s="86">
        <f t="shared" si="3"/>
        <v>5330.4849785249999</v>
      </c>
      <c r="H23" s="86">
        <f t="shared" si="4"/>
        <v>5611.0368195000001</v>
      </c>
      <c r="I23" s="86">
        <f t="shared" si="5"/>
        <v>5891.5886604749994</v>
      </c>
      <c r="J23" s="86">
        <f t="shared" si="6"/>
        <v>6172.1405014499996</v>
      </c>
      <c r="K23" s="94">
        <f t="shared" si="7"/>
        <v>6452.692342424999</v>
      </c>
      <c r="L23" s="86">
        <f t="shared" si="8"/>
        <v>6733.2441834000001</v>
      </c>
      <c r="M23" s="86">
        <f t="shared" si="9"/>
        <v>7013.7960243749994</v>
      </c>
      <c r="N23" s="86">
        <f t="shared" si="10"/>
        <v>7294.3478653499997</v>
      </c>
      <c r="O23" s="86">
        <f t="shared" si="11"/>
        <v>7574.899706324999</v>
      </c>
      <c r="P23" s="86">
        <f t="shared" si="12"/>
        <v>7855.4515472999992</v>
      </c>
      <c r="Q23" s="86">
        <f t="shared" si="13"/>
        <v>8416.5552292499997</v>
      </c>
      <c r="R23" s="86">
        <f t="shared" si="14"/>
        <v>8977.6589112000001</v>
      </c>
      <c r="S23" s="86">
        <f t="shared" si="15"/>
        <v>9819.314434124999</v>
      </c>
      <c r="T23" s="87">
        <f t="shared" si="16"/>
        <v>11222.073639</v>
      </c>
    </row>
    <row r="24" spans="2:20" x14ac:dyDescent="0.25">
      <c r="B24" s="111">
        <v>350</v>
      </c>
      <c r="C24" s="112">
        <v>990</v>
      </c>
      <c r="D24" s="91">
        <f t="shared" si="0"/>
        <v>1731.8014874999997</v>
      </c>
      <c r="E24" s="92">
        <f t="shared" si="1"/>
        <v>3461.85</v>
      </c>
      <c r="F24" s="92">
        <f t="shared" si="2"/>
        <v>5195.4044624999988</v>
      </c>
      <c r="G24" s="92">
        <f t="shared" si="3"/>
        <v>6580.8456524999983</v>
      </c>
      <c r="H24" s="92">
        <f t="shared" si="4"/>
        <v>6927.2059499999987</v>
      </c>
      <c r="I24" s="92">
        <f t="shared" si="5"/>
        <v>7273.5662474999981</v>
      </c>
      <c r="J24" s="92">
        <f t="shared" si="6"/>
        <v>7619.9265449999984</v>
      </c>
      <c r="K24" s="95">
        <f t="shared" si="7"/>
        <v>7966.2868424999979</v>
      </c>
      <c r="L24" s="92">
        <f t="shared" si="8"/>
        <v>8312.6471399999991</v>
      </c>
      <c r="M24" s="92">
        <f t="shared" si="9"/>
        <v>8659.0074374999986</v>
      </c>
      <c r="N24" s="92">
        <f t="shared" si="10"/>
        <v>9005.3677349999998</v>
      </c>
      <c r="O24" s="92">
        <f t="shared" si="11"/>
        <v>9351.7280324999992</v>
      </c>
      <c r="P24" s="92">
        <f t="shared" si="12"/>
        <v>9698.0883299999987</v>
      </c>
      <c r="Q24" s="92">
        <f t="shared" si="13"/>
        <v>10390.808924999998</v>
      </c>
      <c r="R24" s="92">
        <f t="shared" si="14"/>
        <v>11083.529519999998</v>
      </c>
      <c r="S24" s="92">
        <f t="shared" si="15"/>
        <v>12122.610412499998</v>
      </c>
      <c r="T24" s="93">
        <f t="shared" si="16"/>
        <v>13854.411899999997</v>
      </c>
    </row>
    <row r="25" spans="2:20" x14ac:dyDescent="0.25">
      <c r="B25" s="109">
        <v>400</v>
      </c>
      <c r="C25" s="110">
        <v>1257</v>
      </c>
      <c r="D25" s="85">
        <f t="shared" si="0"/>
        <v>2261.9447999999998</v>
      </c>
      <c r="E25" s="86">
        <f t="shared" si="1"/>
        <v>4521.6000000000004</v>
      </c>
      <c r="F25" s="86">
        <f t="shared" si="2"/>
        <v>6785.8343999999997</v>
      </c>
      <c r="G25" s="86">
        <f t="shared" si="3"/>
        <v>8595.3902399999988</v>
      </c>
      <c r="H25" s="86">
        <f t="shared" si="4"/>
        <v>9047.779199999999</v>
      </c>
      <c r="I25" s="86">
        <f t="shared" si="5"/>
        <v>9500.1681599999993</v>
      </c>
      <c r="J25" s="86">
        <f t="shared" si="6"/>
        <v>9952.5571199999977</v>
      </c>
      <c r="K25" s="94">
        <f t="shared" si="7"/>
        <v>10404.94608</v>
      </c>
      <c r="L25" s="86">
        <f t="shared" si="8"/>
        <v>10857.335039999998</v>
      </c>
      <c r="M25" s="86">
        <f t="shared" si="9"/>
        <v>11309.723999999998</v>
      </c>
      <c r="N25" s="86">
        <f t="shared" si="10"/>
        <v>11762.112959999999</v>
      </c>
      <c r="O25" s="86">
        <f t="shared" si="11"/>
        <v>12214.501919999999</v>
      </c>
      <c r="P25" s="86">
        <f t="shared" si="12"/>
        <v>12666.890879999997</v>
      </c>
      <c r="Q25" s="86">
        <f t="shared" si="13"/>
        <v>13571.668799999999</v>
      </c>
      <c r="R25" s="86">
        <f t="shared" si="14"/>
        <v>14476.446719999998</v>
      </c>
      <c r="S25" s="86">
        <f t="shared" si="15"/>
        <v>15833.613599999999</v>
      </c>
      <c r="T25" s="87">
        <f t="shared" si="16"/>
        <v>18095.558399999998</v>
      </c>
    </row>
    <row r="26" spans="2:20" x14ac:dyDescent="0.25">
      <c r="B26" s="111">
        <v>450</v>
      </c>
      <c r="C26" s="112">
        <v>1590</v>
      </c>
      <c r="D26" s="91">
        <f t="shared" si="0"/>
        <v>2862.7738875</v>
      </c>
      <c r="E26" s="92">
        <f t="shared" si="1"/>
        <v>5722.65</v>
      </c>
      <c r="F26" s="92">
        <f t="shared" si="2"/>
        <v>8588.3216625000005</v>
      </c>
      <c r="G26" s="92">
        <f t="shared" si="3"/>
        <v>10878.540772499999</v>
      </c>
      <c r="H26" s="92">
        <f t="shared" si="4"/>
        <v>11451.09555</v>
      </c>
      <c r="I26" s="92">
        <f t="shared" si="5"/>
        <v>12023.6503275</v>
      </c>
      <c r="J26" s="92">
        <f t="shared" si="6"/>
        <v>12596.205104999999</v>
      </c>
      <c r="K26" s="95">
        <f t="shared" si="7"/>
        <v>13168.759882499999</v>
      </c>
      <c r="L26" s="92">
        <f t="shared" si="8"/>
        <v>13741.31466</v>
      </c>
      <c r="M26" s="92">
        <f t="shared" si="9"/>
        <v>14313.869437499998</v>
      </c>
      <c r="N26" s="92">
        <f t="shared" si="10"/>
        <v>14886.424214999999</v>
      </c>
      <c r="O26" s="92">
        <f t="shared" si="11"/>
        <v>15458.9789925</v>
      </c>
      <c r="P26" s="92">
        <f t="shared" si="12"/>
        <v>16031.533769999998</v>
      </c>
      <c r="Q26" s="92">
        <f t="shared" si="13"/>
        <v>17176.643325000001</v>
      </c>
      <c r="R26" s="92">
        <f t="shared" si="14"/>
        <v>18321.75288</v>
      </c>
      <c r="S26" s="92">
        <f t="shared" si="15"/>
        <v>20039.4172125</v>
      </c>
      <c r="T26" s="93">
        <f t="shared" si="16"/>
        <v>22902.1911</v>
      </c>
    </row>
    <row r="27" spans="2:20" x14ac:dyDescent="0.25">
      <c r="B27" s="109">
        <v>500</v>
      </c>
      <c r="C27" s="110">
        <v>1963</v>
      </c>
      <c r="D27" s="85">
        <f t="shared" si="0"/>
        <v>3534.2887500000002</v>
      </c>
      <c r="E27" s="86">
        <f t="shared" si="1"/>
        <v>7065</v>
      </c>
      <c r="F27" s="86">
        <f t="shared" si="2"/>
        <v>10602.866249999999</v>
      </c>
      <c r="G27" s="86">
        <f t="shared" si="3"/>
        <v>13430.297249999998</v>
      </c>
      <c r="H27" s="86">
        <f t="shared" si="4"/>
        <v>14137.155000000001</v>
      </c>
      <c r="I27" s="86">
        <f t="shared" si="5"/>
        <v>14844.01275</v>
      </c>
      <c r="J27" s="86">
        <f t="shared" si="6"/>
        <v>15550.870499999997</v>
      </c>
      <c r="K27" s="94">
        <f t="shared" si="7"/>
        <v>16257.72825</v>
      </c>
      <c r="L27" s="86">
        <f t="shared" si="8"/>
        <v>16964.585999999999</v>
      </c>
      <c r="M27" s="86">
        <f t="shared" si="9"/>
        <v>17671.443749999999</v>
      </c>
      <c r="N27" s="86">
        <f t="shared" si="10"/>
        <v>18378.301499999998</v>
      </c>
      <c r="O27" s="86">
        <f t="shared" si="11"/>
        <v>19085.159249999997</v>
      </c>
      <c r="P27" s="86">
        <f t="shared" si="12"/>
        <v>19792.016999999996</v>
      </c>
      <c r="Q27" s="86">
        <f t="shared" si="13"/>
        <v>21205.732499999998</v>
      </c>
      <c r="R27" s="86">
        <f t="shared" si="14"/>
        <v>22619.447999999997</v>
      </c>
      <c r="S27" s="86">
        <f t="shared" si="15"/>
        <v>24740.021250000002</v>
      </c>
      <c r="T27" s="87">
        <f t="shared" si="16"/>
        <v>28274.31</v>
      </c>
    </row>
    <row r="28" spans="2:20" x14ac:dyDescent="0.25">
      <c r="B28" s="111">
        <v>560</v>
      </c>
      <c r="C28" s="112">
        <v>2463</v>
      </c>
      <c r="D28" s="91">
        <f t="shared" si="0"/>
        <v>4433.4118079999989</v>
      </c>
      <c r="E28" s="92">
        <f t="shared" si="1"/>
        <v>8862.3359999999993</v>
      </c>
      <c r="F28" s="92">
        <f t="shared" si="2"/>
        <v>13300.235423999997</v>
      </c>
      <c r="G28" s="92">
        <f t="shared" si="3"/>
        <v>16846.964870399999</v>
      </c>
      <c r="H28" s="92">
        <f t="shared" si="4"/>
        <v>17733.647231999996</v>
      </c>
      <c r="I28" s="92">
        <f t="shared" si="5"/>
        <v>18620.329593599996</v>
      </c>
      <c r="J28" s="92">
        <f t="shared" si="6"/>
        <v>19507.011955199996</v>
      </c>
      <c r="K28" s="95">
        <f t="shared" si="7"/>
        <v>20393.694316799996</v>
      </c>
      <c r="L28" s="92">
        <f t="shared" si="8"/>
        <v>21280.376678399996</v>
      </c>
      <c r="M28" s="92">
        <f t="shared" si="9"/>
        <v>22167.059039999996</v>
      </c>
      <c r="N28" s="92">
        <f t="shared" si="10"/>
        <v>23053.741401599997</v>
      </c>
      <c r="O28" s="92">
        <f t="shared" si="11"/>
        <v>23940.423763199997</v>
      </c>
      <c r="P28" s="92">
        <f t="shared" si="12"/>
        <v>24827.106124799997</v>
      </c>
      <c r="Q28" s="92">
        <f t="shared" si="13"/>
        <v>26600.470847999994</v>
      </c>
      <c r="R28" s="92">
        <f t="shared" si="14"/>
        <v>28373.835571199994</v>
      </c>
      <c r="S28" s="92">
        <f t="shared" si="15"/>
        <v>31033.882655999994</v>
      </c>
      <c r="T28" s="93">
        <f t="shared" si="16"/>
        <v>35467.294463999991</v>
      </c>
    </row>
    <row r="29" spans="2:20" x14ac:dyDescent="0.25">
      <c r="B29" s="109">
        <v>600</v>
      </c>
      <c r="C29" s="110">
        <v>2827</v>
      </c>
      <c r="D29" s="85">
        <f t="shared" si="0"/>
        <v>5089.3757999999998</v>
      </c>
      <c r="E29" s="86">
        <f t="shared" si="1"/>
        <v>10173.6</v>
      </c>
      <c r="F29" s="86">
        <f t="shared" si="2"/>
        <v>15268.127399999998</v>
      </c>
      <c r="G29" s="86">
        <f t="shared" si="3"/>
        <v>19339.628039999996</v>
      </c>
      <c r="H29" s="86">
        <f t="shared" si="4"/>
        <v>20357.503199999999</v>
      </c>
      <c r="I29" s="86">
        <f t="shared" si="5"/>
        <v>21375.378359999995</v>
      </c>
      <c r="J29" s="86">
        <f t="shared" si="6"/>
        <v>22393.253519999998</v>
      </c>
      <c r="K29" s="94">
        <f t="shared" si="7"/>
        <v>23411.128679999998</v>
      </c>
      <c r="L29" s="86">
        <f t="shared" si="8"/>
        <v>24429.003839999998</v>
      </c>
      <c r="M29" s="86">
        <f t="shared" si="9"/>
        <v>25446.879000000001</v>
      </c>
      <c r="N29" s="86">
        <f t="shared" si="10"/>
        <v>26464.754159999997</v>
      </c>
      <c r="O29" s="86">
        <f t="shared" si="11"/>
        <v>27482.629319999996</v>
      </c>
      <c r="P29" s="86">
        <f t="shared" si="12"/>
        <v>28500.50448</v>
      </c>
      <c r="Q29" s="86">
        <f t="shared" si="13"/>
        <v>30536.254799999995</v>
      </c>
      <c r="R29" s="86">
        <f t="shared" si="14"/>
        <v>32572.005119999998</v>
      </c>
      <c r="S29" s="86">
        <f t="shared" si="15"/>
        <v>35625.630599999997</v>
      </c>
      <c r="T29" s="87">
        <f t="shared" si="16"/>
        <v>40715.006399999998</v>
      </c>
    </row>
    <row r="30" spans="2:20" x14ac:dyDescent="0.25">
      <c r="B30" s="111">
        <v>630</v>
      </c>
      <c r="C30" s="112">
        <v>3117</v>
      </c>
      <c r="D30" s="91">
        <f t="shared" si="0"/>
        <v>5611.0368195000001</v>
      </c>
      <c r="E30" s="92">
        <f t="shared" si="1"/>
        <v>11216.393999999998</v>
      </c>
      <c r="F30" s="92">
        <f t="shared" si="2"/>
        <v>16833.110458499999</v>
      </c>
      <c r="G30" s="92">
        <f t="shared" si="3"/>
        <v>21321.939914099999</v>
      </c>
      <c r="H30" s="92">
        <f t="shared" si="4"/>
        <v>22444.147278</v>
      </c>
      <c r="I30" s="92">
        <f t="shared" si="5"/>
        <v>23566.354641899998</v>
      </c>
      <c r="J30" s="92">
        <f t="shared" si="6"/>
        <v>24688.562005799999</v>
      </c>
      <c r="K30" s="95">
        <f t="shared" si="7"/>
        <v>25810.769369699996</v>
      </c>
      <c r="L30" s="92">
        <f t="shared" si="8"/>
        <v>26932.9767336</v>
      </c>
      <c r="M30" s="92">
        <f t="shared" si="9"/>
        <v>28055.184097499998</v>
      </c>
      <c r="N30" s="92">
        <f t="shared" si="10"/>
        <v>29177.391461399999</v>
      </c>
      <c r="O30" s="92">
        <f t="shared" si="11"/>
        <v>30299.598825299996</v>
      </c>
      <c r="P30" s="92">
        <f t="shared" si="12"/>
        <v>31421.806189199997</v>
      </c>
      <c r="Q30" s="92">
        <f t="shared" si="13"/>
        <v>33666.220916999999</v>
      </c>
      <c r="R30" s="92">
        <f t="shared" si="14"/>
        <v>35910.635644800001</v>
      </c>
      <c r="S30" s="92">
        <f t="shared" si="15"/>
        <v>39277.257736499996</v>
      </c>
      <c r="T30" s="93">
        <f t="shared" si="16"/>
        <v>44888.294556000001</v>
      </c>
    </row>
    <row r="31" spans="2:20" x14ac:dyDescent="0.25">
      <c r="B31" s="109">
        <v>700</v>
      </c>
      <c r="C31" s="110">
        <v>3848</v>
      </c>
      <c r="D31" s="85">
        <f t="shared" si="0"/>
        <v>6927.2059499999987</v>
      </c>
      <c r="E31" s="86">
        <f t="shared" si="1"/>
        <v>13847.4</v>
      </c>
      <c r="F31" s="86">
        <f t="shared" si="2"/>
        <v>20781.617849999995</v>
      </c>
      <c r="G31" s="86">
        <f t="shared" si="3"/>
        <v>26323.382609999993</v>
      </c>
      <c r="H31" s="86">
        <f t="shared" si="4"/>
        <v>27708.823799999995</v>
      </c>
      <c r="I31" s="86">
        <f t="shared" si="5"/>
        <v>29094.264989999992</v>
      </c>
      <c r="J31" s="86">
        <f t="shared" si="6"/>
        <v>30479.706179999994</v>
      </c>
      <c r="K31" s="94">
        <f t="shared" si="7"/>
        <v>31865.147369999991</v>
      </c>
      <c r="L31" s="86">
        <f t="shared" si="8"/>
        <v>33250.588559999997</v>
      </c>
      <c r="M31" s="86">
        <f t="shared" si="9"/>
        <v>34636.029749999994</v>
      </c>
      <c r="N31" s="86">
        <f t="shared" si="10"/>
        <v>36021.470939999999</v>
      </c>
      <c r="O31" s="86">
        <f t="shared" si="11"/>
        <v>37406.912129999997</v>
      </c>
      <c r="P31" s="86">
        <f t="shared" si="12"/>
        <v>38792.353319999995</v>
      </c>
      <c r="Q31" s="86">
        <f t="shared" si="13"/>
        <v>41563.23569999999</v>
      </c>
      <c r="R31" s="86">
        <f t="shared" si="14"/>
        <v>44334.118079999993</v>
      </c>
      <c r="S31" s="86">
        <f t="shared" si="15"/>
        <v>48490.441649999993</v>
      </c>
      <c r="T31" s="87">
        <f t="shared" si="16"/>
        <v>55417.647599999989</v>
      </c>
    </row>
    <row r="32" spans="2:20" x14ac:dyDescent="0.25">
      <c r="B32" s="111">
        <v>710</v>
      </c>
      <c r="C32" s="112">
        <v>3959</v>
      </c>
      <c r="D32" s="91">
        <f t="shared" si="0"/>
        <v>7126.5398354999998</v>
      </c>
      <c r="E32" s="92">
        <f t="shared" si="1"/>
        <v>14245.866000000002</v>
      </c>
      <c r="F32" s="92">
        <f t="shared" si="2"/>
        <v>21379.619506499999</v>
      </c>
      <c r="G32" s="92">
        <f t="shared" si="3"/>
        <v>27080.851374900001</v>
      </c>
      <c r="H32" s="92">
        <f t="shared" si="4"/>
        <v>28506.159341999999</v>
      </c>
      <c r="I32" s="92">
        <f t="shared" si="5"/>
        <v>29931.4673091</v>
      </c>
      <c r="J32" s="92">
        <f t="shared" si="6"/>
        <v>31356.775276199998</v>
      </c>
      <c r="K32" s="95">
        <f t="shared" si="7"/>
        <v>32782.083243299996</v>
      </c>
      <c r="L32" s="92">
        <f t="shared" si="8"/>
        <v>34207.391210399997</v>
      </c>
      <c r="M32" s="92">
        <f t="shared" si="9"/>
        <v>35632.699177499999</v>
      </c>
      <c r="N32" s="92">
        <f t="shared" si="10"/>
        <v>37058.0071446</v>
      </c>
      <c r="O32" s="92">
        <f t="shared" si="11"/>
        <v>38483.315111700002</v>
      </c>
      <c r="P32" s="92">
        <f t="shared" si="12"/>
        <v>39908.623078799996</v>
      </c>
      <c r="Q32" s="92">
        <f t="shared" si="13"/>
        <v>42759.239012999999</v>
      </c>
      <c r="R32" s="92">
        <f t="shared" si="14"/>
        <v>45609.854947200001</v>
      </c>
      <c r="S32" s="92">
        <f t="shared" si="15"/>
        <v>49885.778848499998</v>
      </c>
      <c r="T32" s="93">
        <f t="shared" si="16"/>
        <v>57012.318683999998</v>
      </c>
    </row>
    <row r="33" spans="2:20" x14ac:dyDescent="0.25">
      <c r="B33" s="109">
        <v>800</v>
      </c>
      <c r="C33" s="110">
        <v>5026</v>
      </c>
      <c r="D33" s="85">
        <f t="shared" si="0"/>
        <v>9047.779199999999</v>
      </c>
      <c r="E33" s="86">
        <f t="shared" si="1"/>
        <v>18086.400000000001</v>
      </c>
      <c r="F33" s="86">
        <f t="shared" si="2"/>
        <v>27143.337599999999</v>
      </c>
      <c r="G33" s="86">
        <f t="shared" si="3"/>
        <v>34381.560959999995</v>
      </c>
      <c r="H33" s="86">
        <f t="shared" si="4"/>
        <v>36191.116799999996</v>
      </c>
      <c r="I33" s="86">
        <f t="shared" si="5"/>
        <v>38000.672639999997</v>
      </c>
      <c r="J33" s="86">
        <f t="shared" si="6"/>
        <v>39810.228479999991</v>
      </c>
      <c r="K33" s="94">
        <f t="shared" si="7"/>
        <v>41619.784319999999</v>
      </c>
      <c r="L33" s="86">
        <f t="shared" si="8"/>
        <v>43429.340159999992</v>
      </c>
      <c r="M33" s="86">
        <f t="shared" si="9"/>
        <v>45238.895999999993</v>
      </c>
      <c r="N33" s="86">
        <f t="shared" si="10"/>
        <v>47048.451839999994</v>
      </c>
      <c r="O33" s="86">
        <f t="shared" si="11"/>
        <v>48858.007679999995</v>
      </c>
      <c r="P33" s="86">
        <f t="shared" si="12"/>
        <v>50667.563519999989</v>
      </c>
      <c r="Q33" s="86">
        <f t="shared" si="13"/>
        <v>54286.675199999998</v>
      </c>
      <c r="R33" s="86">
        <f t="shared" si="14"/>
        <v>57905.786879999992</v>
      </c>
      <c r="S33" s="86">
        <f t="shared" si="15"/>
        <v>63334.454399999995</v>
      </c>
      <c r="T33" s="87">
        <f t="shared" si="16"/>
        <v>72382.233599999992</v>
      </c>
    </row>
    <row r="34" spans="2:20" x14ac:dyDescent="0.25">
      <c r="B34" s="109">
        <v>900</v>
      </c>
      <c r="C34" s="110">
        <v>6362</v>
      </c>
      <c r="D34" s="85">
        <f t="shared" si="0"/>
        <v>11451.09555</v>
      </c>
      <c r="E34" s="86">
        <f t="shared" si="1"/>
        <v>22890.6</v>
      </c>
      <c r="F34" s="86">
        <f t="shared" si="2"/>
        <v>34353.286650000002</v>
      </c>
      <c r="G34" s="86">
        <f t="shared" si="3"/>
        <v>43514.163089999995</v>
      </c>
      <c r="H34" s="86">
        <f t="shared" si="4"/>
        <v>45804.3822</v>
      </c>
      <c r="I34" s="86">
        <f t="shared" si="5"/>
        <v>48094.601309999998</v>
      </c>
      <c r="J34" s="86">
        <f t="shared" si="6"/>
        <v>50384.820419999996</v>
      </c>
      <c r="K34" s="94">
        <f t="shared" si="7"/>
        <v>52675.039529999995</v>
      </c>
      <c r="L34" s="86">
        <f t="shared" si="8"/>
        <v>54965.25864</v>
      </c>
      <c r="M34" s="86">
        <f t="shared" si="9"/>
        <v>57255.477749999991</v>
      </c>
      <c r="N34" s="86">
        <f t="shared" si="10"/>
        <v>59545.696859999996</v>
      </c>
      <c r="O34" s="86">
        <f t="shared" si="11"/>
        <v>61835.915970000002</v>
      </c>
      <c r="P34" s="86">
        <f t="shared" si="12"/>
        <v>64126.135079999993</v>
      </c>
      <c r="Q34" s="86">
        <f t="shared" si="13"/>
        <v>68706.573300000004</v>
      </c>
      <c r="R34" s="86">
        <f t="shared" si="14"/>
        <v>73287.01152</v>
      </c>
      <c r="S34" s="86">
        <f t="shared" si="15"/>
        <v>80157.668850000002</v>
      </c>
      <c r="T34" s="87">
        <f t="shared" si="16"/>
        <v>91608.7644</v>
      </c>
    </row>
    <row r="35" spans="2:20" ht="16.5" thickBot="1" x14ac:dyDescent="0.3">
      <c r="B35" s="113">
        <v>1000</v>
      </c>
      <c r="C35" s="114">
        <v>7854</v>
      </c>
      <c r="D35" s="88">
        <f t="shared" si="0"/>
        <v>14137.155000000001</v>
      </c>
      <c r="E35" s="89">
        <f t="shared" si="1"/>
        <v>28260</v>
      </c>
      <c r="F35" s="89">
        <f t="shared" si="2"/>
        <v>42411.464999999997</v>
      </c>
      <c r="G35" s="89">
        <f t="shared" si="3"/>
        <v>53721.188999999991</v>
      </c>
      <c r="H35" s="89">
        <f t="shared" si="4"/>
        <v>56548.62</v>
      </c>
      <c r="I35" s="89">
        <f t="shared" si="5"/>
        <v>59376.050999999999</v>
      </c>
      <c r="J35" s="89">
        <f t="shared" si="6"/>
        <v>62203.481999999989</v>
      </c>
      <c r="K35" s="96">
        <f t="shared" si="7"/>
        <v>65030.913</v>
      </c>
      <c r="L35" s="89">
        <f t="shared" si="8"/>
        <v>67858.343999999997</v>
      </c>
      <c r="M35" s="89">
        <f t="shared" si="9"/>
        <v>70685.774999999994</v>
      </c>
      <c r="N35" s="89">
        <f t="shared" si="10"/>
        <v>73513.205999999991</v>
      </c>
      <c r="O35" s="89">
        <f t="shared" si="11"/>
        <v>76340.636999999988</v>
      </c>
      <c r="P35" s="89">
        <f t="shared" si="12"/>
        <v>79168.067999999985</v>
      </c>
      <c r="Q35" s="89">
        <f t="shared" si="13"/>
        <v>84822.93</v>
      </c>
      <c r="R35" s="89">
        <f t="shared" si="14"/>
        <v>90477.791999999987</v>
      </c>
      <c r="S35" s="89">
        <f t="shared" si="15"/>
        <v>98960.085000000006</v>
      </c>
      <c r="T35" s="90">
        <f t="shared" si="16"/>
        <v>113097.24</v>
      </c>
    </row>
    <row r="36" spans="2:20" x14ac:dyDescent="0.25">
      <c r="E36" s="84"/>
    </row>
  </sheetData>
  <mergeCells count="2">
    <mergeCell ref="B3:C3"/>
    <mergeCell ref="B2:G2"/>
  </mergeCells>
  <pageMargins left="1.1811023622047245" right="0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workbookViewId="0">
      <selection activeCell="E20" sqref="E20"/>
    </sheetView>
  </sheetViews>
  <sheetFormatPr baseColWidth="10" defaultRowHeight="15.75" x14ac:dyDescent="0.25"/>
  <cols>
    <col min="1" max="1" width="5.140625" customWidth="1"/>
    <col min="2" max="2" width="17.28515625" customWidth="1"/>
    <col min="3" max="3" width="2.140625" customWidth="1"/>
    <col min="5" max="5" width="5.85546875" customWidth="1"/>
    <col min="6" max="6" width="8.7109375" customWidth="1"/>
    <col min="7" max="7" width="18" customWidth="1"/>
    <col min="8" max="8" width="7.7109375" customWidth="1"/>
    <col min="9" max="9" width="5.5703125" customWidth="1"/>
    <col min="257" max="257" width="5.140625" customWidth="1"/>
    <col min="258" max="258" width="14.7109375" customWidth="1"/>
    <col min="259" max="259" width="2.140625" customWidth="1"/>
    <col min="261" max="261" width="5.85546875" customWidth="1"/>
    <col min="513" max="513" width="5.140625" customWidth="1"/>
    <col min="514" max="514" width="14.7109375" customWidth="1"/>
    <col min="515" max="515" width="2.140625" customWidth="1"/>
    <col min="517" max="517" width="5.85546875" customWidth="1"/>
    <col min="769" max="769" width="5.140625" customWidth="1"/>
    <col min="770" max="770" width="14.7109375" customWidth="1"/>
    <col min="771" max="771" width="2.140625" customWidth="1"/>
    <col min="773" max="773" width="5.85546875" customWidth="1"/>
    <col min="1025" max="1025" width="5.140625" customWidth="1"/>
    <col min="1026" max="1026" width="14.7109375" customWidth="1"/>
    <col min="1027" max="1027" width="2.140625" customWidth="1"/>
    <col min="1029" max="1029" width="5.85546875" customWidth="1"/>
    <col min="1281" max="1281" width="5.140625" customWidth="1"/>
    <col min="1282" max="1282" width="14.7109375" customWidth="1"/>
    <col min="1283" max="1283" width="2.140625" customWidth="1"/>
    <col min="1285" max="1285" width="5.85546875" customWidth="1"/>
    <col min="1537" max="1537" width="5.140625" customWidth="1"/>
    <col min="1538" max="1538" width="14.7109375" customWidth="1"/>
    <col min="1539" max="1539" width="2.140625" customWidth="1"/>
    <col min="1541" max="1541" width="5.85546875" customWidth="1"/>
    <col min="1793" max="1793" width="5.140625" customWidth="1"/>
    <col min="1794" max="1794" width="14.7109375" customWidth="1"/>
    <col min="1795" max="1795" width="2.140625" customWidth="1"/>
    <col min="1797" max="1797" width="5.85546875" customWidth="1"/>
    <col min="2049" max="2049" width="5.140625" customWidth="1"/>
    <col min="2050" max="2050" width="14.7109375" customWidth="1"/>
    <col min="2051" max="2051" width="2.140625" customWidth="1"/>
    <col min="2053" max="2053" width="5.85546875" customWidth="1"/>
    <col min="2305" max="2305" width="5.140625" customWidth="1"/>
    <col min="2306" max="2306" width="14.7109375" customWidth="1"/>
    <col min="2307" max="2307" width="2.140625" customWidth="1"/>
    <col min="2309" max="2309" width="5.85546875" customWidth="1"/>
    <col min="2561" max="2561" width="5.140625" customWidth="1"/>
    <col min="2562" max="2562" width="14.7109375" customWidth="1"/>
    <col min="2563" max="2563" width="2.140625" customWidth="1"/>
    <col min="2565" max="2565" width="5.85546875" customWidth="1"/>
    <col min="2817" max="2817" width="5.140625" customWidth="1"/>
    <col min="2818" max="2818" width="14.7109375" customWidth="1"/>
    <col min="2819" max="2819" width="2.140625" customWidth="1"/>
    <col min="2821" max="2821" width="5.85546875" customWidth="1"/>
    <col min="3073" max="3073" width="5.140625" customWidth="1"/>
    <col min="3074" max="3074" width="14.7109375" customWidth="1"/>
    <col min="3075" max="3075" width="2.140625" customWidth="1"/>
    <col min="3077" max="3077" width="5.85546875" customWidth="1"/>
    <col min="3329" max="3329" width="5.140625" customWidth="1"/>
    <col min="3330" max="3330" width="14.7109375" customWidth="1"/>
    <col min="3331" max="3331" width="2.140625" customWidth="1"/>
    <col min="3333" max="3333" width="5.85546875" customWidth="1"/>
    <col min="3585" max="3585" width="5.140625" customWidth="1"/>
    <col min="3586" max="3586" width="14.7109375" customWidth="1"/>
    <col min="3587" max="3587" width="2.140625" customWidth="1"/>
    <col min="3589" max="3589" width="5.85546875" customWidth="1"/>
    <col min="3841" max="3841" width="5.140625" customWidth="1"/>
    <col min="3842" max="3842" width="14.7109375" customWidth="1"/>
    <col min="3843" max="3843" width="2.140625" customWidth="1"/>
    <col min="3845" max="3845" width="5.85546875" customWidth="1"/>
    <col min="4097" max="4097" width="5.140625" customWidth="1"/>
    <col min="4098" max="4098" width="14.7109375" customWidth="1"/>
    <col min="4099" max="4099" width="2.140625" customWidth="1"/>
    <col min="4101" max="4101" width="5.85546875" customWidth="1"/>
    <col min="4353" max="4353" width="5.140625" customWidth="1"/>
    <col min="4354" max="4354" width="14.7109375" customWidth="1"/>
    <col min="4355" max="4355" width="2.140625" customWidth="1"/>
    <col min="4357" max="4357" width="5.85546875" customWidth="1"/>
    <col min="4609" max="4609" width="5.140625" customWidth="1"/>
    <col min="4610" max="4610" width="14.7109375" customWidth="1"/>
    <col min="4611" max="4611" width="2.140625" customWidth="1"/>
    <col min="4613" max="4613" width="5.85546875" customWidth="1"/>
    <col min="4865" max="4865" width="5.140625" customWidth="1"/>
    <col min="4866" max="4866" width="14.7109375" customWidth="1"/>
    <col min="4867" max="4867" width="2.140625" customWidth="1"/>
    <col min="4869" max="4869" width="5.85546875" customWidth="1"/>
    <col min="5121" max="5121" width="5.140625" customWidth="1"/>
    <col min="5122" max="5122" width="14.7109375" customWidth="1"/>
    <col min="5123" max="5123" width="2.140625" customWidth="1"/>
    <col min="5125" max="5125" width="5.85546875" customWidth="1"/>
    <col min="5377" max="5377" width="5.140625" customWidth="1"/>
    <col min="5378" max="5378" width="14.7109375" customWidth="1"/>
    <col min="5379" max="5379" width="2.140625" customWidth="1"/>
    <col min="5381" max="5381" width="5.85546875" customWidth="1"/>
    <col min="5633" max="5633" width="5.140625" customWidth="1"/>
    <col min="5634" max="5634" width="14.7109375" customWidth="1"/>
    <col min="5635" max="5635" width="2.140625" customWidth="1"/>
    <col min="5637" max="5637" width="5.85546875" customWidth="1"/>
    <col min="5889" max="5889" width="5.140625" customWidth="1"/>
    <col min="5890" max="5890" width="14.7109375" customWidth="1"/>
    <col min="5891" max="5891" width="2.140625" customWidth="1"/>
    <col min="5893" max="5893" width="5.85546875" customWidth="1"/>
    <col min="6145" max="6145" width="5.140625" customWidth="1"/>
    <col min="6146" max="6146" width="14.7109375" customWidth="1"/>
    <col min="6147" max="6147" width="2.140625" customWidth="1"/>
    <col min="6149" max="6149" width="5.85546875" customWidth="1"/>
    <col min="6401" max="6401" width="5.140625" customWidth="1"/>
    <col min="6402" max="6402" width="14.7109375" customWidth="1"/>
    <col min="6403" max="6403" width="2.140625" customWidth="1"/>
    <col min="6405" max="6405" width="5.85546875" customWidth="1"/>
    <col min="6657" max="6657" width="5.140625" customWidth="1"/>
    <col min="6658" max="6658" width="14.7109375" customWidth="1"/>
    <col min="6659" max="6659" width="2.140625" customWidth="1"/>
    <col min="6661" max="6661" width="5.85546875" customWidth="1"/>
    <col min="6913" max="6913" width="5.140625" customWidth="1"/>
    <col min="6914" max="6914" width="14.7109375" customWidth="1"/>
    <col min="6915" max="6915" width="2.140625" customWidth="1"/>
    <col min="6917" max="6917" width="5.85546875" customWidth="1"/>
    <col min="7169" max="7169" width="5.140625" customWidth="1"/>
    <col min="7170" max="7170" width="14.7109375" customWidth="1"/>
    <col min="7171" max="7171" width="2.140625" customWidth="1"/>
    <col min="7173" max="7173" width="5.85546875" customWidth="1"/>
    <col min="7425" max="7425" width="5.140625" customWidth="1"/>
    <col min="7426" max="7426" width="14.7109375" customWidth="1"/>
    <col min="7427" max="7427" width="2.140625" customWidth="1"/>
    <col min="7429" max="7429" width="5.85546875" customWidth="1"/>
    <col min="7681" max="7681" width="5.140625" customWidth="1"/>
    <col min="7682" max="7682" width="14.7109375" customWidth="1"/>
    <col min="7683" max="7683" width="2.140625" customWidth="1"/>
    <col min="7685" max="7685" width="5.85546875" customWidth="1"/>
    <col min="7937" max="7937" width="5.140625" customWidth="1"/>
    <col min="7938" max="7938" width="14.7109375" customWidth="1"/>
    <col min="7939" max="7939" width="2.140625" customWidth="1"/>
    <col min="7941" max="7941" width="5.85546875" customWidth="1"/>
    <col min="8193" max="8193" width="5.140625" customWidth="1"/>
    <col min="8194" max="8194" width="14.7109375" customWidth="1"/>
    <col min="8195" max="8195" width="2.140625" customWidth="1"/>
    <col min="8197" max="8197" width="5.85546875" customWidth="1"/>
    <col min="8449" max="8449" width="5.140625" customWidth="1"/>
    <col min="8450" max="8450" width="14.7109375" customWidth="1"/>
    <col min="8451" max="8451" width="2.140625" customWidth="1"/>
    <col min="8453" max="8453" width="5.85546875" customWidth="1"/>
    <col min="8705" max="8705" width="5.140625" customWidth="1"/>
    <col min="8706" max="8706" width="14.7109375" customWidth="1"/>
    <col min="8707" max="8707" width="2.140625" customWidth="1"/>
    <col min="8709" max="8709" width="5.85546875" customWidth="1"/>
    <col min="8961" max="8961" width="5.140625" customWidth="1"/>
    <col min="8962" max="8962" width="14.7109375" customWidth="1"/>
    <col min="8963" max="8963" width="2.140625" customWidth="1"/>
    <col min="8965" max="8965" width="5.85546875" customWidth="1"/>
    <col min="9217" max="9217" width="5.140625" customWidth="1"/>
    <col min="9218" max="9218" width="14.7109375" customWidth="1"/>
    <col min="9219" max="9219" width="2.140625" customWidth="1"/>
    <col min="9221" max="9221" width="5.85546875" customWidth="1"/>
    <col min="9473" max="9473" width="5.140625" customWidth="1"/>
    <col min="9474" max="9474" width="14.7109375" customWidth="1"/>
    <col min="9475" max="9475" width="2.140625" customWidth="1"/>
    <col min="9477" max="9477" width="5.85546875" customWidth="1"/>
    <col min="9729" max="9729" width="5.140625" customWidth="1"/>
    <col min="9730" max="9730" width="14.7109375" customWidth="1"/>
    <col min="9731" max="9731" width="2.140625" customWidth="1"/>
    <col min="9733" max="9733" width="5.85546875" customWidth="1"/>
    <col min="9985" max="9985" width="5.140625" customWidth="1"/>
    <col min="9986" max="9986" width="14.7109375" customWidth="1"/>
    <col min="9987" max="9987" width="2.140625" customWidth="1"/>
    <col min="9989" max="9989" width="5.85546875" customWidth="1"/>
    <col min="10241" max="10241" width="5.140625" customWidth="1"/>
    <col min="10242" max="10242" width="14.7109375" customWidth="1"/>
    <col min="10243" max="10243" width="2.140625" customWidth="1"/>
    <col min="10245" max="10245" width="5.85546875" customWidth="1"/>
    <col min="10497" max="10497" width="5.140625" customWidth="1"/>
    <col min="10498" max="10498" width="14.7109375" customWidth="1"/>
    <col min="10499" max="10499" width="2.140625" customWidth="1"/>
    <col min="10501" max="10501" width="5.85546875" customWidth="1"/>
    <col min="10753" max="10753" width="5.140625" customWidth="1"/>
    <col min="10754" max="10754" width="14.7109375" customWidth="1"/>
    <col min="10755" max="10755" width="2.140625" customWidth="1"/>
    <col min="10757" max="10757" width="5.85546875" customWidth="1"/>
    <col min="11009" max="11009" width="5.140625" customWidth="1"/>
    <col min="11010" max="11010" width="14.7109375" customWidth="1"/>
    <col min="11011" max="11011" width="2.140625" customWidth="1"/>
    <col min="11013" max="11013" width="5.85546875" customWidth="1"/>
    <col min="11265" max="11265" width="5.140625" customWidth="1"/>
    <col min="11266" max="11266" width="14.7109375" customWidth="1"/>
    <col min="11267" max="11267" width="2.140625" customWidth="1"/>
    <col min="11269" max="11269" width="5.85546875" customWidth="1"/>
    <col min="11521" max="11521" width="5.140625" customWidth="1"/>
    <col min="11522" max="11522" width="14.7109375" customWidth="1"/>
    <col min="11523" max="11523" width="2.140625" customWidth="1"/>
    <col min="11525" max="11525" width="5.85546875" customWidth="1"/>
    <col min="11777" max="11777" width="5.140625" customWidth="1"/>
    <col min="11778" max="11778" width="14.7109375" customWidth="1"/>
    <col min="11779" max="11779" width="2.140625" customWidth="1"/>
    <col min="11781" max="11781" width="5.85546875" customWidth="1"/>
    <col min="12033" max="12033" width="5.140625" customWidth="1"/>
    <col min="12034" max="12034" width="14.7109375" customWidth="1"/>
    <col min="12035" max="12035" width="2.140625" customWidth="1"/>
    <col min="12037" max="12037" width="5.85546875" customWidth="1"/>
    <col min="12289" max="12289" width="5.140625" customWidth="1"/>
    <col min="12290" max="12290" width="14.7109375" customWidth="1"/>
    <col min="12291" max="12291" width="2.140625" customWidth="1"/>
    <col min="12293" max="12293" width="5.85546875" customWidth="1"/>
    <col min="12545" max="12545" width="5.140625" customWidth="1"/>
    <col min="12546" max="12546" width="14.7109375" customWidth="1"/>
    <col min="12547" max="12547" width="2.140625" customWidth="1"/>
    <col min="12549" max="12549" width="5.85546875" customWidth="1"/>
    <col min="12801" max="12801" width="5.140625" customWidth="1"/>
    <col min="12802" max="12802" width="14.7109375" customWidth="1"/>
    <col min="12803" max="12803" width="2.140625" customWidth="1"/>
    <col min="12805" max="12805" width="5.85546875" customWidth="1"/>
    <col min="13057" max="13057" width="5.140625" customWidth="1"/>
    <col min="13058" max="13058" width="14.7109375" customWidth="1"/>
    <col min="13059" max="13059" width="2.140625" customWidth="1"/>
    <col min="13061" max="13061" width="5.85546875" customWidth="1"/>
    <col min="13313" max="13313" width="5.140625" customWidth="1"/>
    <col min="13314" max="13314" width="14.7109375" customWidth="1"/>
    <col min="13315" max="13315" width="2.140625" customWidth="1"/>
    <col min="13317" max="13317" width="5.85546875" customWidth="1"/>
    <col min="13569" max="13569" width="5.140625" customWidth="1"/>
    <col min="13570" max="13570" width="14.7109375" customWidth="1"/>
    <col min="13571" max="13571" width="2.140625" customWidth="1"/>
    <col min="13573" max="13573" width="5.85546875" customWidth="1"/>
    <col min="13825" max="13825" width="5.140625" customWidth="1"/>
    <col min="13826" max="13826" width="14.7109375" customWidth="1"/>
    <col min="13827" max="13827" width="2.140625" customWidth="1"/>
    <col min="13829" max="13829" width="5.85546875" customWidth="1"/>
    <col min="14081" max="14081" width="5.140625" customWidth="1"/>
    <col min="14082" max="14082" width="14.7109375" customWidth="1"/>
    <col min="14083" max="14083" width="2.140625" customWidth="1"/>
    <col min="14085" max="14085" width="5.85546875" customWidth="1"/>
    <col min="14337" max="14337" width="5.140625" customWidth="1"/>
    <col min="14338" max="14338" width="14.7109375" customWidth="1"/>
    <col min="14339" max="14339" width="2.140625" customWidth="1"/>
    <col min="14341" max="14341" width="5.85546875" customWidth="1"/>
    <col min="14593" max="14593" width="5.140625" customWidth="1"/>
    <col min="14594" max="14594" width="14.7109375" customWidth="1"/>
    <col min="14595" max="14595" width="2.140625" customWidth="1"/>
    <col min="14597" max="14597" width="5.85546875" customWidth="1"/>
    <col min="14849" max="14849" width="5.140625" customWidth="1"/>
    <col min="14850" max="14850" width="14.7109375" customWidth="1"/>
    <col min="14851" max="14851" width="2.140625" customWidth="1"/>
    <col min="14853" max="14853" width="5.85546875" customWidth="1"/>
    <col min="15105" max="15105" width="5.140625" customWidth="1"/>
    <col min="15106" max="15106" width="14.7109375" customWidth="1"/>
    <col min="15107" max="15107" width="2.140625" customWidth="1"/>
    <col min="15109" max="15109" width="5.85546875" customWidth="1"/>
    <col min="15361" max="15361" width="5.140625" customWidth="1"/>
    <col min="15362" max="15362" width="14.7109375" customWidth="1"/>
    <col min="15363" max="15363" width="2.140625" customWidth="1"/>
    <col min="15365" max="15365" width="5.85546875" customWidth="1"/>
    <col min="15617" max="15617" width="5.140625" customWidth="1"/>
    <col min="15618" max="15618" width="14.7109375" customWidth="1"/>
    <col min="15619" max="15619" width="2.140625" customWidth="1"/>
    <col min="15621" max="15621" width="5.85546875" customWidth="1"/>
    <col min="15873" max="15873" width="5.140625" customWidth="1"/>
    <col min="15874" max="15874" width="14.7109375" customWidth="1"/>
    <col min="15875" max="15875" width="2.140625" customWidth="1"/>
    <col min="15877" max="15877" width="5.85546875" customWidth="1"/>
    <col min="16129" max="16129" width="5.140625" customWidth="1"/>
    <col min="16130" max="16130" width="14.7109375" customWidth="1"/>
    <col min="16131" max="16131" width="2.140625" customWidth="1"/>
    <col min="16133" max="16133" width="5.85546875" customWidth="1"/>
  </cols>
  <sheetData>
    <row r="1" spans="1:9" x14ac:dyDescent="0.25">
      <c r="A1" s="53"/>
    </row>
    <row r="2" spans="1:9" x14ac:dyDescent="0.25">
      <c r="B2" s="54" t="s">
        <v>144</v>
      </c>
      <c r="G2" s="54" t="s">
        <v>174</v>
      </c>
    </row>
    <row r="3" spans="1:9" x14ac:dyDescent="0.25">
      <c r="B3" t="s">
        <v>145</v>
      </c>
    </row>
    <row r="4" spans="1:9" ht="7.15" customHeight="1" thickBot="1" x14ac:dyDescent="0.3"/>
    <row r="5" spans="1:9" s="55" customFormat="1" ht="31.5" x14ac:dyDescent="0.2">
      <c r="B5" s="154" t="s">
        <v>146</v>
      </c>
      <c r="C5" s="56"/>
      <c r="D5" s="141">
        <v>1.4</v>
      </c>
      <c r="G5" s="63" t="s">
        <v>160</v>
      </c>
      <c r="H5" s="142">
        <v>11</v>
      </c>
      <c r="I5" s="148" t="s">
        <v>74</v>
      </c>
    </row>
    <row r="6" spans="1:9" ht="25.5" x14ac:dyDescent="0.25">
      <c r="B6" s="154" t="s">
        <v>147</v>
      </c>
      <c r="D6" s="141">
        <v>20</v>
      </c>
      <c r="G6" s="64" t="s">
        <v>161</v>
      </c>
      <c r="H6" s="143">
        <v>5</v>
      </c>
      <c r="I6" s="149" t="s">
        <v>162</v>
      </c>
    </row>
    <row r="7" spans="1:9" ht="25.15" customHeight="1" x14ac:dyDescent="0.25">
      <c r="B7" s="59" t="s">
        <v>148</v>
      </c>
      <c r="C7" s="57"/>
      <c r="D7" s="152">
        <f>D5*D5*0.785*36*D6</f>
        <v>1107.7919999999999</v>
      </c>
      <c r="G7" s="64" t="s">
        <v>163</v>
      </c>
      <c r="H7" s="144">
        <v>0.24</v>
      </c>
      <c r="I7" s="149" t="s">
        <v>164</v>
      </c>
    </row>
    <row r="8" spans="1:9" x14ac:dyDescent="0.25">
      <c r="G8" s="64" t="s">
        <v>168</v>
      </c>
      <c r="H8" s="143">
        <v>2800</v>
      </c>
      <c r="I8" s="149" t="s">
        <v>164</v>
      </c>
    </row>
    <row r="9" spans="1:9" x14ac:dyDescent="0.25">
      <c r="B9" s="54" t="s">
        <v>152</v>
      </c>
      <c r="G9" s="150" t="s">
        <v>165</v>
      </c>
      <c r="H9" s="151">
        <f>H5*H6*H7*200</f>
        <v>2640</v>
      </c>
      <c r="I9" s="149" t="s">
        <v>164</v>
      </c>
    </row>
    <row r="10" spans="1:9" x14ac:dyDescent="0.25">
      <c r="B10" s="58" t="s">
        <v>153</v>
      </c>
      <c r="G10" s="64" t="s">
        <v>166</v>
      </c>
      <c r="H10" s="143">
        <v>20</v>
      </c>
      <c r="I10" s="149" t="s">
        <v>167</v>
      </c>
    </row>
    <row r="11" spans="1:9" ht="25.5" x14ac:dyDescent="0.25">
      <c r="B11" s="154" t="s">
        <v>154</v>
      </c>
      <c r="D11" s="145">
        <v>3534</v>
      </c>
      <c r="G11" s="150" t="s">
        <v>176</v>
      </c>
      <c r="H11" s="157">
        <f>H9*H10/100</f>
        <v>528</v>
      </c>
      <c r="I11" s="149" t="s">
        <v>164</v>
      </c>
    </row>
    <row r="12" spans="1:9" ht="26.25" x14ac:dyDescent="0.25">
      <c r="B12" s="154" t="s">
        <v>155</v>
      </c>
      <c r="D12" s="145">
        <v>38</v>
      </c>
      <c r="G12" s="158" t="s">
        <v>169</v>
      </c>
      <c r="H12" s="159">
        <f>H8/H11</f>
        <v>5.3030303030303028</v>
      </c>
      <c r="I12" s="160" t="s">
        <v>175</v>
      </c>
    </row>
    <row r="13" spans="1:9" ht="26.25" thickBot="1" x14ac:dyDescent="0.3">
      <c r="B13" s="59" t="s">
        <v>156</v>
      </c>
      <c r="C13" s="55"/>
      <c r="D13" s="152">
        <f>D11/D12</f>
        <v>93</v>
      </c>
      <c r="G13" s="321" t="s">
        <v>177</v>
      </c>
      <c r="H13" s="322"/>
      <c r="I13" s="323"/>
    </row>
    <row r="14" spans="1:9" ht="11.45" customHeight="1" x14ac:dyDescent="0.25">
      <c r="G14" s="58"/>
    </row>
    <row r="15" spans="1:9" x14ac:dyDescent="0.25">
      <c r="B15" s="54" t="s">
        <v>149</v>
      </c>
      <c r="F15" s="58"/>
      <c r="G15" s="1" t="s">
        <v>276</v>
      </c>
    </row>
    <row r="16" spans="1:9" x14ac:dyDescent="0.25">
      <c r="B16" s="58" t="s">
        <v>150</v>
      </c>
      <c r="F16" s="58"/>
      <c r="G16" s="99" t="s">
        <v>289</v>
      </c>
    </row>
    <row r="17" spans="2:11" ht="15" customHeight="1" x14ac:dyDescent="0.25">
      <c r="B17" s="154" t="s">
        <v>151</v>
      </c>
      <c r="D17" s="146">
        <v>2900</v>
      </c>
      <c r="G17" s="99" t="s">
        <v>291</v>
      </c>
    </row>
    <row r="18" spans="2:11" ht="18" customHeight="1" x14ac:dyDescent="0.25">
      <c r="B18" s="59" t="s">
        <v>282</v>
      </c>
      <c r="D18" s="153">
        <f>D17/150</f>
        <v>19.333333333333332</v>
      </c>
      <c r="G18" s="99" t="s">
        <v>290</v>
      </c>
    </row>
    <row r="19" spans="2:11" s="55" customFormat="1" x14ac:dyDescent="0.25">
      <c r="E19" s="60"/>
      <c r="G19" t="s">
        <v>275</v>
      </c>
      <c r="K19"/>
    </row>
    <row r="21" spans="2:11" x14ac:dyDescent="0.25">
      <c r="B21" s="54" t="s">
        <v>159</v>
      </c>
    </row>
    <row r="22" spans="2:11" ht="9.6" customHeight="1" x14ac:dyDescent="0.25"/>
    <row r="23" spans="2:11" x14ac:dyDescent="0.25">
      <c r="B23" s="155" t="s">
        <v>172</v>
      </c>
      <c r="D23" s="147">
        <v>40</v>
      </c>
      <c r="G23" s="1" t="s">
        <v>286</v>
      </c>
    </row>
    <row r="24" spans="2:11" x14ac:dyDescent="0.25">
      <c r="B24" s="155" t="s">
        <v>158</v>
      </c>
      <c r="D24" s="147">
        <f>D23/2</f>
        <v>20</v>
      </c>
      <c r="G24" s="1" t="s">
        <v>288</v>
      </c>
    </row>
    <row r="25" spans="2:11" x14ac:dyDescent="0.25">
      <c r="B25" s="162" t="s">
        <v>170</v>
      </c>
      <c r="D25" s="161">
        <f>D24*D24*PI()</f>
        <v>1256.6370614359173</v>
      </c>
    </row>
    <row r="26" spans="2:11" x14ac:dyDescent="0.25">
      <c r="D26" s="1"/>
    </row>
    <row r="27" spans="2:11" x14ac:dyDescent="0.25">
      <c r="B27" s="155" t="s">
        <v>171</v>
      </c>
      <c r="D27" s="147">
        <v>25</v>
      </c>
    </row>
    <row r="28" spans="2:11" x14ac:dyDescent="0.25">
      <c r="B28" s="156" t="s">
        <v>157</v>
      </c>
      <c r="D28" s="147">
        <f>D27/2</f>
        <v>12.5</v>
      </c>
    </row>
    <row r="29" spans="2:11" x14ac:dyDescent="0.25">
      <c r="B29" s="163" t="s">
        <v>173</v>
      </c>
      <c r="D29" s="161">
        <f>D28*D28*PI()</f>
        <v>490.87385212340519</v>
      </c>
    </row>
  </sheetData>
  <mergeCells count="1">
    <mergeCell ref="G13:I13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6"/>
  <sheetViews>
    <sheetView workbookViewId="0">
      <selection activeCell="B29" sqref="B29"/>
    </sheetView>
  </sheetViews>
  <sheetFormatPr baseColWidth="10" defaultRowHeight="15.75" x14ac:dyDescent="0.25"/>
  <cols>
    <col min="1" max="1" width="2.140625" customWidth="1"/>
    <col min="2" max="2" width="8.28515625" customWidth="1"/>
    <col min="3" max="3" width="1.28515625" customWidth="1"/>
    <col min="4" max="4" width="8.5703125" customWidth="1"/>
    <col min="5" max="5" width="12" customWidth="1"/>
    <col min="6" max="6" width="1.140625" customWidth="1"/>
    <col min="7" max="7" width="8.5703125" customWidth="1"/>
    <col min="8" max="8" width="12" customWidth="1"/>
    <col min="9" max="9" width="1.28515625" customWidth="1"/>
    <col min="10" max="10" width="8.5703125" customWidth="1"/>
    <col min="11" max="11" width="12" customWidth="1"/>
    <col min="264" max="267" width="14.7109375" customWidth="1"/>
    <col min="520" max="523" width="14.7109375" customWidth="1"/>
    <col min="776" max="779" width="14.7109375" customWidth="1"/>
    <col min="1032" max="1035" width="14.7109375" customWidth="1"/>
    <col min="1288" max="1291" width="14.7109375" customWidth="1"/>
    <col min="1544" max="1547" width="14.7109375" customWidth="1"/>
    <col min="1800" max="1803" width="14.7109375" customWidth="1"/>
    <col min="2056" max="2059" width="14.7109375" customWidth="1"/>
    <col min="2312" max="2315" width="14.7109375" customWidth="1"/>
    <col min="2568" max="2571" width="14.7109375" customWidth="1"/>
    <col min="2824" max="2827" width="14.7109375" customWidth="1"/>
    <col min="3080" max="3083" width="14.7109375" customWidth="1"/>
    <col min="3336" max="3339" width="14.7109375" customWidth="1"/>
    <col min="3592" max="3595" width="14.7109375" customWidth="1"/>
    <col min="3848" max="3851" width="14.7109375" customWidth="1"/>
    <col min="4104" max="4107" width="14.7109375" customWidth="1"/>
    <col min="4360" max="4363" width="14.7109375" customWidth="1"/>
    <col min="4616" max="4619" width="14.7109375" customWidth="1"/>
    <col min="4872" max="4875" width="14.7109375" customWidth="1"/>
    <col min="5128" max="5131" width="14.7109375" customWidth="1"/>
    <col min="5384" max="5387" width="14.7109375" customWidth="1"/>
    <col min="5640" max="5643" width="14.7109375" customWidth="1"/>
    <col min="5896" max="5899" width="14.7109375" customWidth="1"/>
    <col min="6152" max="6155" width="14.7109375" customWidth="1"/>
    <col min="6408" max="6411" width="14.7109375" customWidth="1"/>
    <col min="6664" max="6667" width="14.7109375" customWidth="1"/>
    <col min="6920" max="6923" width="14.7109375" customWidth="1"/>
    <col min="7176" max="7179" width="14.7109375" customWidth="1"/>
    <col min="7432" max="7435" width="14.7109375" customWidth="1"/>
    <col min="7688" max="7691" width="14.7109375" customWidth="1"/>
    <col min="7944" max="7947" width="14.7109375" customWidth="1"/>
    <col min="8200" max="8203" width="14.7109375" customWidth="1"/>
    <col min="8456" max="8459" width="14.7109375" customWidth="1"/>
    <col min="8712" max="8715" width="14.7109375" customWidth="1"/>
    <col min="8968" max="8971" width="14.7109375" customWidth="1"/>
    <col min="9224" max="9227" width="14.7109375" customWidth="1"/>
    <col min="9480" max="9483" width="14.7109375" customWidth="1"/>
    <col min="9736" max="9739" width="14.7109375" customWidth="1"/>
    <col min="9992" max="9995" width="14.7109375" customWidth="1"/>
    <col min="10248" max="10251" width="14.7109375" customWidth="1"/>
    <col min="10504" max="10507" width="14.7109375" customWidth="1"/>
    <col min="10760" max="10763" width="14.7109375" customWidth="1"/>
    <col min="11016" max="11019" width="14.7109375" customWidth="1"/>
    <col min="11272" max="11275" width="14.7109375" customWidth="1"/>
    <col min="11528" max="11531" width="14.7109375" customWidth="1"/>
    <col min="11784" max="11787" width="14.7109375" customWidth="1"/>
    <col min="12040" max="12043" width="14.7109375" customWidth="1"/>
    <col min="12296" max="12299" width="14.7109375" customWidth="1"/>
    <col min="12552" max="12555" width="14.7109375" customWidth="1"/>
    <col min="12808" max="12811" width="14.7109375" customWidth="1"/>
    <col min="13064" max="13067" width="14.7109375" customWidth="1"/>
    <col min="13320" max="13323" width="14.7109375" customWidth="1"/>
    <col min="13576" max="13579" width="14.7109375" customWidth="1"/>
    <col min="13832" max="13835" width="14.7109375" customWidth="1"/>
    <col min="14088" max="14091" width="14.7109375" customWidth="1"/>
    <col min="14344" max="14347" width="14.7109375" customWidth="1"/>
    <col min="14600" max="14603" width="14.7109375" customWidth="1"/>
    <col min="14856" max="14859" width="14.7109375" customWidth="1"/>
    <col min="15112" max="15115" width="14.7109375" customWidth="1"/>
    <col min="15368" max="15371" width="14.7109375" customWidth="1"/>
    <col min="15624" max="15627" width="14.7109375" customWidth="1"/>
    <col min="15880" max="15883" width="14.7109375" customWidth="1"/>
    <col min="16136" max="16139" width="14.7109375" customWidth="1"/>
  </cols>
  <sheetData>
    <row r="1" spans="2:11" ht="26.25" x14ac:dyDescent="0.4">
      <c r="B1" s="78" t="s">
        <v>264</v>
      </c>
      <c r="C1" s="78"/>
      <c r="D1" s="78"/>
    </row>
    <row r="3" spans="2:11" ht="25.15" customHeight="1" x14ac:dyDescent="0.25">
      <c r="B3" s="324" t="s">
        <v>279</v>
      </c>
      <c r="C3" s="325"/>
      <c r="D3" s="325"/>
      <c r="E3" s="325"/>
      <c r="F3" s="325"/>
      <c r="G3" s="325"/>
      <c r="H3" s="325"/>
      <c r="I3" s="325"/>
      <c r="J3" s="325"/>
      <c r="K3" s="325"/>
    </row>
    <row r="4" spans="2:11" ht="16.5" thickBot="1" x14ac:dyDescent="0.3"/>
    <row r="5" spans="2:11" ht="25.9" customHeight="1" thickBot="1" x14ac:dyDescent="0.3">
      <c r="B5" s="100" t="s">
        <v>271</v>
      </c>
      <c r="C5" s="101"/>
      <c r="D5" s="102" t="s">
        <v>273</v>
      </c>
      <c r="E5" s="103" t="s">
        <v>270</v>
      </c>
      <c r="F5" s="101"/>
      <c r="G5" s="102" t="s">
        <v>272</v>
      </c>
      <c r="H5" s="103" t="s">
        <v>270</v>
      </c>
      <c r="I5" s="101"/>
      <c r="J5" s="102" t="s">
        <v>274</v>
      </c>
      <c r="K5" s="104" t="s">
        <v>270</v>
      </c>
    </row>
    <row r="6" spans="2:11" x14ac:dyDescent="0.25">
      <c r="B6" s="105">
        <v>80</v>
      </c>
      <c r="C6" s="332"/>
      <c r="D6" s="82">
        <v>362</v>
      </c>
      <c r="E6" s="105">
        <v>45</v>
      </c>
      <c r="F6" s="332"/>
      <c r="G6" s="82">
        <v>416</v>
      </c>
      <c r="H6" s="105">
        <v>61</v>
      </c>
      <c r="I6" s="332"/>
      <c r="J6" s="82">
        <v>507</v>
      </c>
      <c r="K6" s="105">
        <v>95</v>
      </c>
    </row>
    <row r="7" spans="2:11" x14ac:dyDescent="0.25">
      <c r="B7" s="106">
        <v>100</v>
      </c>
      <c r="C7" s="333"/>
      <c r="D7" s="79">
        <v>565</v>
      </c>
      <c r="E7" s="106">
        <v>37</v>
      </c>
      <c r="F7" s="333"/>
      <c r="G7" s="79">
        <v>650</v>
      </c>
      <c r="H7" s="106">
        <v>51</v>
      </c>
      <c r="I7" s="333"/>
      <c r="J7" s="79">
        <v>792</v>
      </c>
      <c r="K7" s="106">
        <v>84</v>
      </c>
    </row>
    <row r="8" spans="2:11" x14ac:dyDescent="0.25">
      <c r="B8" s="106">
        <v>120</v>
      </c>
      <c r="C8" s="333"/>
      <c r="D8" s="79">
        <v>814</v>
      </c>
      <c r="E8" s="106">
        <v>30</v>
      </c>
      <c r="F8" s="333"/>
      <c r="G8" s="79">
        <v>936</v>
      </c>
      <c r="H8" s="106">
        <v>53</v>
      </c>
      <c r="I8" s="333"/>
      <c r="J8" s="79">
        <v>1140</v>
      </c>
      <c r="K8" s="106">
        <v>68</v>
      </c>
    </row>
    <row r="9" spans="2:11" x14ac:dyDescent="0.25">
      <c r="B9" s="106">
        <v>125</v>
      </c>
      <c r="C9" s="333"/>
      <c r="D9" s="79">
        <v>884</v>
      </c>
      <c r="E9" s="106">
        <v>29</v>
      </c>
      <c r="F9" s="333"/>
      <c r="G9" s="79">
        <v>1016</v>
      </c>
      <c r="H9" s="106">
        <v>41</v>
      </c>
      <c r="I9" s="333"/>
      <c r="J9" s="79">
        <v>1237</v>
      </c>
      <c r="K9" s="106">
        <v>65</v>
      </c>
    </row>
    <row r="10" spans="2:11" x14ac:dyDescent="0.25">
      <c r="B10" s="106">
        <v>140</v>
      </c>
      <c r="C10" s="333"/>
      <c r="D10" s="79">
        <v>1108</v>
      </c>
      <c r="E10" s="106">
        <v>26</v>
      </c>
      <c r="F10" s="333"/>
      <c r="G10" s="79">
        <v>1275</v>
      </c>
      <c r="H10" s="106">
        <v>35</v>
      </c>
      <c r="I10" s="333"/>
      <c r="J10" s="79">
        <v>1552</v>
      </c>
      <c r="K10" s="106">
        <v>56</v>
      </c>
    </row>
    <row r="11" spans="2:11" x14ac:dyDescent="0.25">
      <c r="B11" s="106">
        <v>160</v>
      </c>
      <c r="C11" s="333"/>
      <c r="D11" s="79">
        <v>1448</v>
      </c>
      <c r="E11" s="106">
        <v>23</v>
      </c>
      <c r="F11" s="333"/>
      <c r="G11" s="79">
        <v>1665</v>
      </c>
      <c r="H11" s="106">
        <v>30</v>
      </c>
      <c r="I11" s="333"/>
      <c r="J11" s="79">
        <v>2027</v>
      </c>
      <c r="K11" s="106">
        <v>47</v>
      </c>
    </row>
    <row r="12" spans="2:11" x14ac:dyDescent="0.25">
      <c r="B12" s="106">
        <v>180</v>
      </c>
      <c r="C12" s="333"/>
      <c r="D12" s="79">
        <v>1832</v>
      </c>
      <c r="E12" s="106">
        <v>20</v>
      </c>
      <c r="F12" s="333"/>
      <c r="G12" s="79">
        <v>2107</v>
      </c>
      <c r="H12" s="106">
        <v>27</v>
      </c>
      <c r="I12" s="333"/>
      <c r="J12" s="79">
        <v>2565</v>
      </c>
      <c r="K12" s="106">
        <v>41</v>
      </c>
    </row>
    <row r="13" spans="2:11" x14ac:dyDescent="0.25">
      <c r="B13" s="106">
        <v>200</v>
      </c>
      <c r="C13" s="333"/>
      <c r="D13" s="79">
        <v>2262</v>
      </c>
      <c r="E13" s="106">
        <v>18</v>
      </c>
      <c r="F13" s="333"/>
      <c r="G13" s="79">
        <v>2601</v>
      </c>
      <c r="H13" s="106">
        <v>24</v>
      </c>
      <c r="I13" s="333"/>
      <c r="J13" s="79">
        <v>3167</v>
      </c>
      <c r="K13" s="106">
        <v>37</v>
      </c>
    </row>
    <row r="14" spans="2:11" x14ac:dyDescent="0.25">
      <c r="B14" s="106">
        <v>224</v>
      </c>
      <c r="C14" s="333"/>
      <c r="D14" s="79">
        <v>2837</v>
      </c>
      <c r="E14" s="106">
        <v>16</v>
      </c>
      <c r="F14" s="333"/>
      <c r="G14" s="79">
        <v>3263</v>
      </c>
      <c r="H14" s="106">
        <v>21</v>
      </c>
      <c r="I14" s="333"/>
      <c r="J14" s="79">
        <v>3972</v>
      </c>
      <c r="K14" s="106">
        <v>32</v>
      </c>
    </row>
    <row r="15" spans="2:11" x14ac:dyDescent="0.25">
      <c r="B15" s="106">
        <v>250</v>
      </c>
      <c r="C15" s="333"/>
      <c r="D15" s="79">
        <v>3534</v>
      </c>
      <c r="E15" s="106">
        <v>14</v>
      </c>
      <c r="F15" s="333"/>
      <c r="G15" s="79">
        <v>4064</v>
      </c>
      <c r="H15" s="106">
        <v>19</v>
      </c>
      <c r="I15" s="333"/>
      <c r="J15" s="79">
        <v>4948</v>
      </c>
      <c r="K15" s="106">
        <v>28</v>
      </c>
    </row>
    <row r="16" spans="2:11" x14ac:dyDescent="0.25">
      <c r="B16" s="106">
        <v>280</v>
      </c>
      <c r="C16" s="333"/>
      <c r="D16" s="79">
        <v>4433</v>
      </c>
      <c r="E16" s="106">
        <v>13</v>
      </c>
      <c r="F16" s="333"/>
      <c r="G16" s="79">
        <v>5098</v>
      </c>
      <c r="H16" s="106">
        <v>17</v>
      </c>
      <c r="I16" s="333"/>
      <c r="J16" s="79">
        <v>6207</v>
      </c>
      <c r="K16" s="106">
        <v>25</v>
      </c>
    </row>
    <row r="17" spans="2:11" x14ac:dyDescent="0.25">
      <c r="B17" s="106">
        <v>300</v>
      </c>
      <c r="C17" s="333"/>
      <c r="D17" s="79">
        <v>5089</v>
      </c>
      <c r="E17" s="106">
        <v>12</v>
      </c>
      <c r="F17" s="333"/>
      <c r="G17" s="79">
        <v>5853</v>
      </c>
      <c r="H17" s="106">
        <v>16</v>
      </c>
      <c r="I17" s="333"/>
      <c r="J17" s="79">
        <v>7125</v>
      </c>
      <c r="K17" s="106">
        <v>24</v>
      </c>
    </row>
    <row r="18" spans="2:11" x14ac:dyDescent="0.25">
      <c r="B18" s="106">
        <v>315</v>
      </c>
      <c r="C18" s="333"/>
      <c r="D18" s="79">
        <v>5611</v>
      </c>
      <c r="E18" s="106">
        <v>11</v>
      </c>
      <c r="F18" s="333"/>
      <c r="G18" s="79">
        <v>6453</v>
      </c>
      <c r="H18" s="106">
        <v>15</v>
      </c>
      <c r="I18" s="333"/>
      <c r="J18" s="79">
        <v>7855</v>
      </c>
      <c r="K18" s="106">
        <v>22</v>
      </c>
    </row>
    <row r="19" spans="2:11" x14ac:dyDescent="0.25">
      <c r="B19" s="106">
        <v>355</v>
      </c>
      <c r="C19" s="333"/>
      <c r="D19" s="79">
        <v>7126</v>
      </c>
      <c r="E19" s="106">
        <v>10</v>
      </c>
      <c r="F19" s="333"/>
      <c r="G19" s="79">
        <v>8195</v>
      </c>
      <c r="H19" s="106">
        <v>14</v>
      </c>
      <c r="I19" s="333"/>
      <c r="J19" s="79">
        <v>9977</v>
      </c>
      <c r="K19" s="106">
        <v>20</v>
      </c>
    </row>
    <row r="20" spans="2:11" x14ac:dyDescent="0.25">
      <c r="B20" s="106">
        <v>400</v>
      </c>
      <c r="C20" s="333"/>
      <c r="D20" s="79">
        <v>9048</v>
      </c>
      <c r="E20" s="106">
        <v>9</v>
      </c>
      <c r="F20" s="333"/>
      <c r="G20" s="79">
        <v>10405</v>
      </c>
      <c r="H20" s="106">
        <v>12</v>
      </c>
      <c r="I20" s="333"/>
      <c r="J20" s="79">
        <v>12667</v>
      </c>
      <c r="K20" s="106">
        <v>18</v>
      </c>
    </row>
    <row r="21" spans="2:11" x14ac:dyDescent="0.25">
      <c r="B21" s="106">
        <v>450</v>
      </c>
      <c r="C21" s="334"/>
      <c r="D21" s="79">
        <v>11451</v>
      </c>
      <c r="E21" s="106">
        <v>8</v>
      </c>
      <c r="F21" s="334"/>
      <c r="G21" s="79">
        <v>13168</v>
      </c>
      <c r="H21" s="106">
        <v>11</v>
      </c>
      <c r="I21" s="334"/>
      <c r="J21" s="79">
        <v>16031</v>
      </c>
      <c r="K21" s="106">
        <v>16</v>
      </c>
    </row>
    <row r="23" spans="2:11" ht="28.9" customHeight="1" x14ac:dyDescent="0.25">
      <c r="B23" s="324" t="s">
        <v>292</v>
      </c>
      <c r="C23" s="325"/>
      <c r="D23" s="325"/>
      <c r="E23" s="325"/>
      <c r="F23" s="325"/>
      <c r="G23" s="325"/>
      <c r="H23" s="325"/>
      <c r="I23" s="325"/>
      <c r="J23" s="325"/>
      <c r="K23" s="325"/>
    </row>
    <row r="24" spans="2:11" x14ac:dyDescent="0.25">
      <c r="B24" s="58" t="s">
        <v>265</v>
      </c>
      <c r="C24" s="58"/>
      <c r="D24" s="58"/>
    </row>
    <row r="25" spans="2:11" x14ac:dyDescent="0.25">
      <c r="B25" s="58"/>
      <c r="C25" s="58"/>
      <c r="D25" s="58"/>
    </row>
    <row r="27" spans="2:11" ht="26.25" x14ac:dyDescent="0.4">
      <c r="B27" s="78" t="s">
        <v>266</v>
      </c>
      <c r="C27" s="78"/>
      <c r="D27" s="78"/>
    </row>
    <row r="29" spans="2:11" x14ac:dyDescent="0.25">
      <c r="B29" s="58" t="s">
        <v>267</v>
      </c>
      <c r="C29" s="58"/>
      <c r="D29" s="58"/>
    </row>
    <row r="30" spans="2:11" x14ac:dyDescent="0.25">
      <c r="B30" s="58" t="s">
        <v>268</v>
      </c>
      <c r="C30" s="58"/>
      <c r="D30" s="58"/>
    </row>
    <row r="32" spans="2:11" ht="25.9" customHeight="1" x14ac:dyDescent="0.25">
      <c r="B32" s="108" t="s">
        <v>293</v>
      </c>
      <c r="C32" s="330"/>
      <c r="D32" s="331"/>
      <c r="E32" s="107" t="s">
        <v>269</v>
      </c>
      <c r="F32" s="97"/>
      <c r="G32" s="80"/>
    </row>
    <row r="33" spans="2:7" x14ac:dyDescent="0.25">
      <c r="B33" s="105">
        <v>50</v>
      </c>
      <c r="C33" s="326"/>
      <c r="D33" s="327"/>
      <c r="E33" s="105">
        <v>19.600000000000001</v>
      </c>
      <c r="F33" s="81"/>
      <c r="G33" s="81"/>
    </row>
    <row r="34" spans="2:7" x14ac:dyDescent="0.25">
      <c r="B34" s="106">
        <v>80</v>
      </c>
      <c r="C34" s="326"/>
      <c r="D34" s="327"/>
      <c r="E34" s="106">
        <v>50.3</v>
      </c>
      <c r="F34" s="81"/>
      <c r="G34" s="81"/>
    </row>
    <row r="35" spans="2:7" x14ac:dyDescent="0.25">
      <c r="B35" s="106">
        <v>100</v>
      </c>
      <c r="C35" s="326"/>
      <c r="D35" s="327"/>
      <c r="E35" s="106">
        <v>78.5</v>
      </c>
      <c r="F35" s="81"/>
      <c r="G35" s="81"/>
    </row>
    <row r="36" spans="2:7" x14ac:dyDescent="0.25">
      <c r="B36" s="106">
        <v>120</v>
      </c>
      <c r="C36" s="326"/>
      <c r="D36" s="327"/>
      <c r="E36" s="106">
        <v>113.1</v>
      </c>
      <c r="F36" s="81"/>
      <c r="G36" s="81"/>
    </row>
    <row r="37" spans="2:7" x14ac:dyDescent="0.25">
      <c r="B37" s="106">
        <v>125</v>
      </c>
      <c r="C37" s="326"/>
      <c r="D37" s="327"/>
      <c r="E37" s="106">
        <v>122.8</v>
      </c>
      <c r="F37" s="81"/>
      <c r="G37" s="81"/>
    </row>
    <row r="38" spans="2:7" x14ac:dyDescent="0.25">
      <c r="B38" s="106">
        <v>140</v>
      </c>
      <c r="C38" s="326"/>
      <c r="D38" s="327"/>
      <c r="E38" s="106">
        <v>153.9</v>
      </c>
      <c r="F38" s="81"/>
      <c r="G38" s="81"/>
    </row>
    <row r="39" spans="2:7" x14ac:dyDescent="0.25">
      <c r="B39" s="106">
        <v>160</v>
      </c>
      <c r="C39" s="326"/>
      <c r="D39" s="327"/>
      <c r="E39" s="106">
        <v>201.1</v>
      </c>
      <c r="F39" s="81"/>
      <c r="G39" s="81"/>
    </row>
    <row r="40" spans="2:7" x14ac:dyDescent="0.25">
      <c r="B40" s="106">
        <v>180</v>
      </c>
      <c r="C40" s="326"/>
      <c r="D40" s="327"/>
      <c r="E40" s="106">
        <v>254.5</v>
      </c>
      <c r="F40" s="81"/>
      <c r="G40" s="81"/>
    </row>
    <row r="41" spans="2:7" x14ac:dyDescent="0.25">
      <c r="B41" s="106">
        <v>200</v>
      </c>
      <c r="C41" s="326"/>
      <c r="D41" s="327"/>
      <c r="E41" s="106">
        <v>314.2</v>
      </c>
      <c r="F41" s="81"/>
      <c r="G41" s="81"/>
    </row>
    <row r="42" spans="2:7" x14ac:dyDescent="0.25">
      <c r="B42" s="106">
        <v>224</v>
      </c>
      <c r="C42" s="326"/>
      <c r="D42" s="327"/>
      <c r="E42" s="106">
        <v>394.1</v>
      </c>
      <c r="F42" s="81"/>
      <c r="G42" s="81"/>
    </row>
    <row r="43" spans="2:7" x14ac:dyDescent="0.25">
      <c r="B43" s="106">
        <v>250</v>
      </c>
      <c r="C43" s="326"/>
      <c r="D43" s="327"/>
      <c r="E43" s="106">
        <v>490.9</v>
      </c>
      <c r="F43" s="81"/>
      <c r="G43" s="81"/>
    </row>
    <row r="44" spans="2:7" x14ac:dyDescent="0.25">
      <c r="B44" s="106">
        <v>300</v>
      </c>
      <c r="C44" s="326"/>
      <c r="D44" s="327"/>
      <c r="E44" s="106">
        <v>706.9</v>
      </c>
      <c r="F44" s="81"/>
      <c r="G44" s="81"/>
    </row>
    <row r="45" spans="2:7" x14ac:dyDescent="0.25">
      <c r="B45" s="106">
        <v>355</v>
      </c>
      <c r="C45" s="326"/>
      <c r="D45" s="327"/>
      <c r="E45" s="106">
        <v>989.8</v>
      </c>
      <c r="F45" s="81"/>
      <c r="G45" s="81"/>
    </row>
    <row r="46" spans="2:7" x14ac:dyDescent="0.25">
      <c r="B46" s="106">
        <v>500</v>
      </c>
      <c r="C46" s="328"/>
      <c r="D46" s="329"/>
      <c r="E46" s="106">
        <v>1963.5</v>
      </c>
      <c r="F46" s="81"/>
      <c r="G46" s="81"/>
    </row>
  </sheetData>
  <mergeCells count="7">
    <mergeCell ref="B3:K3"/>
    <mergeCell ref="B23:K23"/>
    <mergeCell ref="C33:D46"/>
    <mergeCell ref="C32:D32"/>
    <mergeCell ref="C6:C21"/>
    <mergeCell ref="F6:F21"/>
    <mergeCell ref="I6:I2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37"/>
  <sheetViews>
    <sheetView zoomScaleNormal="100" workbookViewId="0">
      <selection activeCell="J17" sqref="J17"/>
    </sheetView>
  </sheetViews>
  <sheetFormatPr baseColWidth="10" defaultRowHeight="15.75" x14ac:dyDescent="0.25"/>
  <cols>
    <col min="1" max="1" width="4.140625" customWidth="1"/>
    <col min="2" max="2" width="10.7109375" customWidth="1"/>
    <col min="3" max="3" width="6.7109375" customWidth="1"/>
    <col min="4" max="4" width="7.140625" customWidth="1"/>
    <col min="5" max="5" width="7.28515625" customWidth="1"/>
    <col min="6" max="6" width="6" customWidth="1"/>
    <col min="7" max="7" width="4.28515625" customWidth="1"/>
    <col min="8" max="8" width="21.140625" customWidth="1"/>
    <col min="9" max="9" width="7.28515625" customWidth="1"/>
    <col min="10" max="10" width="5.7109375" customWidth="1"/>
    <col min="11" max="11" width="5.42578125" customWidth="1"/>
    <col min="12" max="12" width="24" customWidth="1"/>
    <col min="13" max="13" width="8.28515625" customWidth="1"/>
    <col min="14" max="14" width="8.7109375" customWidth="1"/>
    <col min="257" max="257" width="24.28515625" customWidth="1"/>
    <col min="262" max="262" width="19.85546875" customWidth="1"/>
    <col min="513" max="513" width="24.28515625" customWidth="1"/>
    <col min="518" max="518" width="19.85546875" customWidth="1"/>
    <col min="769" max="769" width="24.28515625" customWidth="1"/>
    <col min="774" max="774" width="19.85546875" customWidth="1"/>
    <col min="1025" max="1025" width="24.28515625" customWidth="1"/>
    <col min="1030" max="1030" width="19.85546875" customWidth="1"/>
    <col min="1281" max="1281" width="24.28515625" customWidth="1"/>
    <col min="1286" max="1286" width="19.85546875" customWidth="1"/>
    <col min="1537" max="1537" width="24.28515625" customWidth="1"/>
    <col min="1542" max="1542" width="19.85546875" customWidth="1"/>
    <col min="1793" max="1793" width="24.28515625" customWidth="1"/>
    <col min="1798" max="1798" width="19.85546875" customWidth="1"/>
    <col min="2049" max="2049" width="24.28515625" customWidth="1"/>
    <col min="2054" max="2054" width="19.85546875" customWidth="1"/>
    <col min="2305" max="2305" width="24.28515625" customWidth="1"/>
    <col min="2310" max="2310" width="19.85546875" customWidth="1"/>
    <col min="2561" max="2561" width="24.28515625" customWidth="1"/>
    <col min="2566" max="2566" width="19.85546875" customWidth="1"/>
    <col min="2817" max="2817" width="24.28515625" customWidth="1"/>
    <col min="2822" max="2822" width="19.85546875" customWidth="1"/>
    <col min="3073" max="3073" width="24.28515625" customWidth="1"/>
    <col min="3078" max="3078" width="19.85546875" customWidth="1"/>
    <col min="3329" max="3329" width="24.28515625" customWidth="1"/>
    <col min="3334" max="3334" width="19.85546875" customWidth="1"/>
    <col min="3585" max="3585" width="24.28515625" customWidth="1"/>
    <col min="3590" max="3590" width="19.85546875" customWidth="1"/>
    <col min="3841" max="3841" width="24.28515625" customWidth="1"/>
    <col min="3846" max="3846" width="19.85546875" customWidth="1"/>
    <col min="4097" max="4097" width="24.28515625" customWidth="1"/>
    <col min="4102" max="4102" width="19.85546875" customWidth="1"/>
    <col min="4353" max="4353" width="24.28515625" customWidth="1"/>
    <col min="4358" max="4358" width="19.85546875" customWidth="1"/>
    <col min="4609" max="4609" width="24.28515625" customWidth="1"/>
    <col min="4614" max="4614" width="19.85546875" customWidth="1"/>
    <col min="4865" max="4865" width="24.28515625" customWidth="1"/>
    <col min="4870" max="4870" width="19.85546875" customWidth="1"/>
    <col min="5121" max="5121" width="24.28515625" customWidth="1"/>
    <col min="5126" max="5126" width="19.85546875" customWidth="1"/>
    <col min="5377" max="5377" width="24.28515625" customWidth="1"/>
    <col min="5382" max="5382" width="19.85546875" customWidth="1"/>
    <col min="5633" max="5633" width="24.28515625" customWidth="1"/>
    <col min="5638" max="5638" width="19.85546875" customWidth="1"/>
    <col min="5889" max="5889" width="24.28515625" customWidth="1"/>
    <col min="5894" max="5894" width="19.85546875" customWidth="1"/>
    <col min="6145" max="6145" width="24.28515625" customWidth="1"/>
    <col min="6150" max="6150" width="19.85546875" customWidth="1"/>
    <col min="6401" max="6401" width="24.28515625" customWidth="1"/>
    <col min="6406" max="6406" width="19.85546875" customWidth="1"/>
    <col min="6657" max="6657" width="24.28515625" customWidth="1"/>
    <col min="6662" max="6662" width="19.85546875" customWidth="1"/>
    <col min="6913" max="6913" width="24.28515625" customWidth="1"/>
    <col min="6918" max="6918" width="19.85546875" customWidth="1"/>
    <col min="7169" max="7169" width="24.28515625" customWidth="1"/>
    <col min="7174" max="7174" width="19.85546875" customWidth="1"/>
    <col min="7425" max="7425" width="24.28515625" customWidth="1"/>
    <col min="7430" max="7430" width="19.85546875" customWidth="1"/>
    <col min="7681" max="7681" width="24.28515625" customWidth="1"/>
    <col min="7686" max="7686" width="19.85546875" customWidth="1"/>
    <col min="7937" max="7937" width="24.28515625" customWidth="1"/>
    <col min="7942" max="7942" width="19.85546875" customWidth="1"/>
    <col min="8193" max="8193" width="24.28515625" customWidth="1"/>
    <col min="8198" max="8198" width="19.85546875" customWidth="1"/>
    <col min="8449" max="8449" width="24.28515625" customWidth="1"/>
    <col min="8454" max="8454" width="19.85546875" customWidth="1"/>
    <col min="8705" max="8705" width="24.28515625" customWidth="1"/>
    <col min="8710" max="8710" width="19.85546875" customWidth="1"/>
    <col min="8961" max="8961" width="24.28515625" customWidth="1"/>
    <col min="8966" max="8966" width="19.85546875" customWidth="1"/>
    <col min="9217" max="9217" width="24.28515625" customWidth="1"/>
    <col min="9222" max="9222" width="19.85546875" customWidth="1"/>
    <col min="9473" max="9473" width="24.28515625" customWidth="1"/>
    <col min="9478" max="9478" width="19.85546875" customWidth="1"/>
    <col min="9729" max="9729" width="24.28515625" customWidth="1"/>
    <col min="9734" max="9734" width="19.85546875" customWidth="1"/>
    <col min="9985" max="9985" width="24.28515625" customWidth="1"/>
    <col min="9990" max="9990" width="19.85546875" customWidth="1"/>
    <col min="10241" max="10241" width="24.28515625" customWidth="1"/>
    <col min="10246" max="10246" width="19.85546875" customWidth="1"/>
    <col min="10497" max="10497" width="24.28515625" customWidth="1"/>
    <col min="10502" max="10502" width="19.85546875" customWidth="1"/>
    <col min="10753" max="10753" width="24.28515625" customWidth="1"/>
    <col min="10758" max="10758" width="19.85546875" customWidth="1"/>
    <col min="11009" max="11009" width="24.28515625" customWidth="1"/>
    <col min="11014" max="11014" width="19.85546875" customWidth="1"/>
    <col min="11265" max="11265" width="24.28515625" customWidth="1"/>
    <col min="11270" max="11270" width="19.85546875" customWidth="1"/>
    <col min="11521" max="11521" width="24.28515625" customWidth="1"/>
    <col min="11526" max="11526" width="19.85546875" customWidth="1"/>
    <col min="11777" max="11777" width="24.28515625" customWidth="1"/>
    <col min="11782" max="11782" width="19.85546875" customWidth="1"/>
    <col min="12033" max="12033" width="24.28515625" customWidth="1"/>
    <col min="12038" max="12038" width="19.85546875" customWidth="1"/>
    <col min="12289" max="12289" width="24.28515625" customWidth="1"/>
    <col min="12294" max="12294" width="19.85546875" customWidth="1"/>
    <col min="12545" max="12545" width="24.28515625" customWidth="1"/>
    <col min="12550" max="12550" width="19.85546875" customWidth="1"/>
    <col min="12801" max="12801" width="24.28515625" customWidth="1"/>
    <col min="12806" max="12806" width="19.85546875" customWidth="1"/>
    <col min="13057" max="13057" width="24.28515625" customWidth="1"/>
    <col min="13062" max="13062" width="19.85546875" customWidth="1"/>
    <col min="13313" max="13313" width="24.28515625" customWidth="1"/>
    <col min="13318" max="13318" width="19.85546875" customWidth="1"/>
    <col min="13569" max="13569" width="24.28515625" customWidth="1"/>
    <col min="13574" max="13574" width="19.85546875" customWidth="1"/>
    <col min="13825" max="13825" width="24.28515625" customWidth="1"/>
    <col min="13830" max="13830" width="19.85546875" customWidth="1"/>
    <col min="14081" max="14081" width="24.28515625" customWidth="1"/>
    <col min="14086" max="14086" width="19.85546875" customWidth="1"/>
    <col min="14337" max="14337" width="24.28515625" customWidth="1"/>
    <col min="14342" max="14342" width="19.85546875" customWidth="1"/>
    <col min="14593" max="14593" width="24.28515625" customWidth="1"/>
    <col min="14598" max="14598" width="19.85546875" customWidth="1"/>
    <col min="14849" max="14849" width="24.28515625" customWidth="1"/>
    <col min="14854" max="14854" width="19.85546875" customWidth="1"/>
    <col min="15105" max="15105" width="24.28515625" customWidth="1"/>
    <col min="15110" max="15110" width="19.85546875" customWidth="1"/>
    <col min="15361" max="15361" width="24.28515625" customWidth="1"/>
    <col min="15366" max="15366" width="19.85546875" customWidth="1"/>
    <col min="15617" max="15617" width="24.28515625" customWidth="1"/>
    <col min="15622" max="15622" width="19.85546875" customWidth="1"/>
    <col min="15873" max="15873" width="24.28515625" customWidth="1"/>
    <col min="15878" max="15878" width="19.85546875" customWidth="1"/>
    <col min="16129" max="16129" width="24.28515625" customWidth="1"/>
    <col min="16134" max="16134" width="19.85546875" customWidth="1"/>
  </cols>
  <sheetData>
    <row r="1" spans="2:14" ht="16.5" thickBot="1" x14ac:dyDescent="0.3"/>
    <row r="2" spans="2:14" x14ac:dyDescent="0.25">
      <c r="B2" s="347" t="s">
        <v>259</v>
      </c>
      <c r="C2" s="348"/>
      <c r="D2" s="348"/>
      <c r="E2" s="348"/>
      <c r="F2" s="348"/>
      <c r="G2" s="348"/>
      <c r="H2" s="171" t="s">
        <v>256</v>
      </c>
    </row>
    <row r="3" spans="2:14" x14ac:dyDescent="0.25">
      <c r="B3" s="347"/>
      <c r="C3" s="348"/>
      <c r="D3" s="348"/>
      <c r="E3" s="348"/>
      <c r="F3" s="348"/>
      <c r="G3" s="348"/>
      <c r="H3" s="351">
        <f>SUM(M36)</f>
        <v>2802.3799139265307</v>
      </c>
    </row>
    <row r="4" spans="2:14" ht="16.5" thickBot="1" x14ac:dyDescent="0.3">
      <c r="B4" s="348"/>
      <c r="C4" s="348"/>
      <c r="D4" s="348"/>
      <c r="E4" s="348"/>
      <c r="F4" s="348"/>
      <c r="G4" s="348"/>
      <c r="H4" s="352"/>
    </row>
    <row r="5" spans="2:14" ht="15.6" customHeight="1" x14ac:dyDescent="0.25">
      <c r="B5" s="72" t="s">
        <v>254</v>
      </c>
      <c r="C5" s="353"/>
      <c r="D5" s="354"/>
      <c r="E5" s="354"/>
      <c r="F5" s="354"/>
      <c r="G5" s="354"/>
      <c r="H5" s="355"/>
    </row>
    <row r="6" spans="2:14" ht="16.149999999999999" customHeight="1" x14ac:dyDescent="0.25">
      <c r="C6" s="356"/>
      <c r="D6" s="357"/>
      <c r="E6" s="357"/>
      <c r="F6" s="357"/>
      <c r="G6" s="357"/>
      <c r="H6" s="358"/>
    </row>
    <row r="7" spans="2:14" x14ac:dyDescent="0.25">
      <c r="C7" s="356"/>
      <c r="D7" s="357"/>
      <c r="E7" s="357"/>
      <c r="F7" s="357"/>
      <c r="G7" s="357"/>
      <c r="H7" s="358"/>
    </row>
    <row r="8" spans="2:14" ht="16.5" thickBot="1" x14ac:dyDescent="0.3">
      <c r="C8" s="356"/>
      <c r="D8" s="357"/>
      <c r="E8" s="357"/>
      <c r="F8" s="357"/>
      <c r="G8" s="357"/>
      <c r="H8" s="358"/>
    </row>
    <row r="9" spans="2:14" ht="16.5" thickBot="1" x14ac:dyDescent="0.3">
      <c r="C9" s="349"/>
      <c r="D9" s="350"/>
      <c r="E9" s="350"/>
      <c r="F9" s="350"/>
      <c r="G9" s="350"/>
      <c r="H9" s="350"/>
      <c r="I9" s="172" t="s">
        <v>23</v>
      </c>
      <c r="J9" s="345"/>
      <c r="K9" s="346"/>
    </row>
    <row r="10" spans="2:14" ht="16.5" thickBot="1" x14ac:dyDescent="0.3"/>
    <row r="11" spans="2:14" x14ac:dyDescent="0.25">
      <c r="B11" s="1" t="s">
        <v>260</v>
      </c>
      <c r="C11" s="1"/>
      <c r="D11" s="1"/>
      <c r="E11" s="1"/>
      <c r="L11" s="185" t="s">
        <v>178</v>
      </c>
      <c r="M11" s="186" t="s">
        <v>179</v>
      </c>
      <c r="N11" s="187" t="s">
        <v>180</v>
      </c>
    </row>
    <row r="12" spans="2:14" ht="15.6" customHeight="1" x14ac:dyDescent="0.25">
      <c r="B12" s="1" t="s">
        <v>262</v>
      </c>
      <c r="C12" s="1"/>
      <c r="D12" s="1"/>
      <c r="E12" s="1"/>
      <c r="L12" s="175" t="s">
        <v>183</v>
      </c>
      <c r="M12" s="155" t="s">
        <v>184</v>
      </c>
      <c r="N12" s="188" t="s">
        <v>252</v>
      </c>
    </row>
    <row r="13" spans="2:14" ht="15.6" customHeight="1" x14ac:dyDescent="0.25">
      <c r="B13" s="1" t="s">
        <v>261</v>
      </c>
      <c r="C13" s="1"/>
      <c r="D13" s="1"/>
      <c r="E13" s="1"/>
      <c r="L13" s="175" t="s">
        <v>258</v>
      </c>
      <c r="M13" s="155" t="s">
        <v>186</v>
      </c>
      <c r="N13" s="188" t="s">
        <v>187</v>
      </c>
    </row>
    <row r="14" spans="2:14" ht="15.6" customHeight="1" thickBot="1" x14ac:dyDescent="0.3">
      <c r="L14" s="175" t="s">
        <v>189</v>
      </c>
      <c r="M14" s="155" t="s">
        <v>190</v>
      </c>
      <c r="N14" s="188" t="s">
        <v>83</v>
      </c>
    </row>
    <row r="15" spans="2:14" x14ac:dyDescent="0.25">
      <c r="B15" s="337" t="s">
        <v>234</v>
      </c>
      <c r="C15" s="338"/>
      <c r="D15" s="338"/>
      <c r="E15" s="173">
        <v>0.76</v>
      </c>
      <c r="F15" s="341" t="s">
        <v>285</v>
      </c>
      <c r="G15" s="342"/>
      <c r="L15" s="175" t="s">
        <v>192</v>
      </c>
      <c r="M15" s="155" t="s">
        <v>193</v>
      </c>
      <c r="N15" s="188" t="s">
        <v>194</v>
      </c>
    </row>
    <row r="16" spans="2:14" ht="16.5" thickBot="1" x14ac:dyDescent="0.3">
      <c r="B16" s="339" t="s">
        <v>233</v>
      </c>
      <c r="C16" s="340"/>
      <c r="D16" s="340"/>
      <c r="E16" s="174">
        <v>5.88</v>
      </c>
      <c r="F16" s="343" t="s">
        <v>285</v>
      </c>
      <c r="G16" s="344"/>
      <c r="L16" s="181" t="s">
        <v>284</v>
      </c>
      <c r="M16" s="189"/>
      <c r="N16" s="190"/>
    </row>
    <row r="18" spans="2:14" ht="16.5" thickBot="1" x14ac:dyDescent="0.3">
      <c r="B18" s="1" t="s">
        <v>235</v>
      </c>
    </row>
    <row r="19" spans="2:14" x14ac:dyDescent="0.25">
      <c r="B19" s="66"/>
      <c r="C19" s="68" t="s">
        <v>208</v>
      </c>
      <c r="D19" s="68" t="s">
        <v>209</v>
      </c>
      <c r="E19" s="69" t="s">
        <v>83</v>
      </c>
      <c r="H19" s="73" t="s">
        <v>231</v>
      </c>
      <c r="I19" s="77" t="s">
        <v>181</v>
      </c>
      <c r="J19" s="74"/>
      <c r="L19" s="184" t="s">
        <v>202</v>
      </c>
      <c r="M19" s="191">
        <f>I30</f>
        <v>8</v>
      </c>
      <c r="N19" s="192" t="s">
        <v>211</v>
      </c>
    </row>
    <row r="20" spans="2:14" x14ac:dyDescent="0.25">
      <c r="B20" s="175" t="s">
        <v>210</v>
      </c>
      <c r="C20" s="165">
        <v>9.64</v>
      </c>
      <c r="D20" s="166">
        <v>7.4</v>
      </c>
      <c r="E20" s="195">
        <f t="shared" ref="E20:E28" si="0">C20*D20</f>
        <v>71.336000000000013</v>
      </c>
      <c r="H20" s="75" t="s">
        <v>182</v>
      </c>
      <c r="I20" s="335" t="s">
        <v>302</v>
      </c>
      <c r="J20" s="336"/>
      <c r="L20" s="175" t="s">
        <v>213</v>
      </c>
      <c r="M20" s="164">
        <v>20</v>
      </c>
      <c r="N20" s="188" t="s">
        <v>214</v>
      </c>
    </row>
    <row r="21" spans="2:14" x14ac:dyDescent="0.25">
      <c r="B21" s="175" t="s">
        <v>212</v>
      </c>
      <c r="C21" s="165">
        <v>9.64</v>
      </c>
      <c r="D21" s="166">
        <v>7.4</v>
      </c>
      <c r="E21" s="195">
        <f t="shared" si="0"/>
        <v>71.336000000000013</v>
      </c>
      <c r="H21" s="193" t="s">
        <v>185</v>
      </c>
      <c r="I21" s="167">
        <v>9</v>
      </c>
      <c r="J21" s="76" t="s">
        <v>232</v>
      </c>
      <c r="L21" s="175" t="s">
        <v>216</v>
      </c>
      <c r="M21" s="164">
        <v>1</v>
      </c>
      <c r="N21" s="188" t="s">
        <v>217</v>
      </c>
    </row>
    <row r="22" spans="2:14" x14ac:dyDescent="0.25">
      <c r="B22" s="175" t="s">
        <v>215</v>
      </c>
      <c r="C22" s="165">
        <v>3.22</v>
      </c>
      <c r="D22" s="166">
        <v>7.4</v>
      </c>
      <c r="E22" s="195">
        <f t="shared" si="0"/>
        <v>23.828000000000003</v>
      </c>
      <c r="H22" s="175" t="s">
        <v>188</v>
      </c>
      <c r="I22" s="165">
        <v>5</v>
      </c>
      <c r="J22" s="4" t="s">
        <v>232</v>
      </c>
      <c r="L22" s="175" t="s">
        <v>219</v>
      </c>
      <c r="M22" s="164">
        <v>8</v>
      </c>
      <c r="N22" s="188" t="s">
        <v>220</v>
      </c>
    </row>
    <row r="23" spans="2:14" ht="16.5" thickBot="1" x14ac:dyDescent="0.3">
      <c r="B23" s="175" t="s">
        <v>218</v>
      </c>
      <c r="C23" s="165">
        <v>3.22</v>
      </c>
      <c r="D23" s="166">
        <v>6.7</v>
      </c>
      <c r="E23" s="195">
        <f t="shared" si="0"/>
        <v>21.574000000000002</v>
      </c>
      <c r="H23" s="175" t="s">
        <v>191</v>
      </c>
      <c r="I23" s="165">
        <v>1</v>
      </c>
      <c r="J23" s="4" t="s">
        <v>232</v>
      </c>
      <c r="L23" s="204" t="s">
        <v>222</v>
      </c>
      <c r="M23" s="205">
        <f>M19*M20*M21*M22</f>
        <v>1280</v>
      </c>
      <c r="N23" s="206" t="s">
        <v>220</v>
      </c>
    </row>
    <row r="24" spans="2:14" ht="16.5" thickBot="1" x14ac:dyDescent="0.3">
      <c r="B24" s="175" t="s">
        <v>221</v>
      </c>
      <c r="C24" s="165"/>
      <c r="D24" s="166"/>
      <c r="E24" s="195">
        <f t="shared" si="0"/>
        <v>0</v>
      </c>
      <c r="H24" s="175" t="s">
        <v>195</v>
      </c>
      <c r="I24" s="165">
        <v>-3</v>
      </c>
      <c r="J24" s="4" t="s">
        <v>232</v>
      </c>
    </row>
    <row r="25" spans="2:14" x14ac:dyDescent="0.25">
      <c r="B25" s="175" t="s">
        <v>223</v>
      </c>
      <c r="C25" s="165"/>
      <c r="D25" s="165"/>
      <c r="E25" s="195">
        <f t="shared" si="0"/>
        <v>0</v>
      </c>
      <c r="H25" s="175" t="s">
        <v>196</v>
      </c>
      <c r="I25" s="165">
        <v>-5</v>
      </c>
      <c r="J25" s="4" t="s">
        <v>232</v>
      </c>
      <c r="L25" s="184" t="s">
        <v>236</v>
      </c>
      <c r="M25" s="210">
        <f>E15*E29*I33*3600/1000</f>
        <v>11465.401024800005</v>
      </c>
      <c r="N25" s="203" t="s">
        <v>252</v>
      </c>
    </row>
    <row r="26" spans="2:14" x14ac:dyDescent="0.25">
      <c r="B26" s="175" t="s">
        <v>224</v>
      </c>
      <c r="C26" s="165">
        <v>9.64</v>
      </c>
      <c r="D26" s="165">
        <v>3.22</v>
      </c>
      <c r="E26" s="195">
        <f t="shared" si="0"/>
        <v>31.040800000000004</v>
      </c>
      <c r="H26" s="175" t="s">
        <v>197</v>
      </c>
      <c r="I26" s="165">
        <v>-3</v>
      </c>
      <c r="J26" s="4" t="s">
        <v>232</v>
      </c>
      <c r="L26" s="175" t="s">
        <v>283</v>
      </c>
      <c r="M26" s="211">
        <f>M25/3600</f>
        <v>3.1848336180000012</v>
      </c>
      <c r="N26" s="212" t="s">
        <v>253</v>
      </c>
    </row>
    <row r="27" spans="2:14" x14ac:dyDescent="0.25">
      <c r="B27" s="175" t="s">
        <v>225</v>
      </c>
      <c r="C27" s="165"/>
      <c r="D27" s="165"/>
      <c r="E27" s="195">
        <f t="shared" si="0"/>
        <v>0</v>
      </c>
      <c r="H27" s="175" t="s">
        <v>198</v>
      </c>
      <c r="I27" s="165">
        <v>0</v>
      </c>
      <c r="J27" s="4" t="s">
        <v>232</v>
      </c>
      <c r="L27" s="207" t="s">
        <v>228</v>
      </c>
      <c r="M27" s="208">
        <f>M26*M23</f>
        <v>4076.5870310400014</v>
      </c>
      <c r="N27" s="209" t="s">
        <v>253</v>
      </c>
    </row>
    <row r="28" spans="2:14" x14ac:dyDescent="0.25">
      <c r="B28" s="175" t="s">
        <v>226</v>
      </c>
      <c r="C28" s="165"/>
      <c r="D28" s="165"/>
      <c r="E28" s="195">
        <f t="shared" si="0"/>
        <v>0</v>
      </c>
      <c r="H28" s="175" t="s">
        <v>199</v>
      </c>
      <c r="I28" s="250">
        <v>3</v>
      </c>
      <c r="J28" s="4" t="s">
        <v>232</v>
      </c>
      <c r="L28" s="61"/>
      <c r="M28" s="67"/>
      <c r="N28" s="62"/>
    </row>
    <row r="29" spans="2:14" ht="16.5" thickBot="1" x14ac:dyDescent="0.3">
      <c r="B29" s="198"/>
      <c r="C29" s="197" t="s">
        <v>227</v>
      </c>
      <c r="D29" s="70"/>
      <c r="E29" s="196">
        <f>SUM(E20:E28)</f>
        <v>219.11480000000006</v>
      </c>
      <c r="H29" s="175" t="s">
        <v>200</v>
      </c>
      <c r="I29" s="194">
        <f>SUM(I21:I28)</f>
        <v>7</v>
      </c>
      <c r="J29" s="4" t="s">
        <v>232</v>
      </c>
      <c r="L29" s="175" t="s">
        <v>237</v>
      </c>
      <c r="M29" s="213">
        <f>E16*E29*I33*3600/1000</f>
        <v>88705.997402400011</v>
      </c>
      <c r="N29" s="212" t="s">
        <v>252</v>
      </c>
    </row>
    <row r="30" spans="2:14" ht="16.5" thickBot="1" x14ac:dyDescent="0.3">
      <c r="H30" s="175" t="s">
        <v>202</v>
      </c>
      <c r="I30" s="155">
        <f>COUNTA(I21:I28)</f>
        <v>8</v>
      </c>
      <c r="J30" s="188"/>
      <c r="L30" s="175" t="s">
        <v>283</v>
      </c>
      <c r="M30" s="211">
        <f>M29/3600</f>
        <v>24.640554834000003</v>
      </c>
      <c r="N30" s="212" t="s">
        <v>253</v>
      </c>
    </row>
    <row r="31" spans="2:14" x14ac:dyDescent="0.25">
      <c r="B31" s="176" t="s">
        <v>249</v>
      </c>
      <c r="C31" s="177"/>
      <c r="D31" s="178"/>
      <c r="H31" s="175" t="s">
        <v>204</v>
      </c>
      <c r="I31" s="194">
        <f>I29/I30</f>
        <v>0.875</v>
      </c>
      <c r="J31" s="4" t="s">
        <v>232</v>
      </c>
      <c r="L31" s="207" t="s">
        <v>228</v>
      </c>
      <c r="M31" s="208">
        <f>M23*M30</f>
        <v>31539.910187520003</v>
      </c>
      <c r="N31" s="209" t="s">
        <v>253</v>
      </c>
    </row>
    <row r="32" spans="2:14" x14ac:dyDescent="0.25">
      <c r="B32" s="175" t="s">
        <v>242</v>
      </c>
      <c r="C32" s="179">
        <v>1</v>
      </c>
      <c r="D32" s="180" t="s">
        <v>244</v>
      </c>
      <c r="H32" s="175" t="s">
        <v>205</v>
      </c>
      <c r="I32" s="165">
        <v>20</v>
      </c>
      <c r="J32" s="4" t="s">
        <v>232</v>
      </c>
      <c r="L32" s="61"/>
      <c r="M32" s="67"/>
      <c r="N32" s="62"/>
    </row>
    <row r="33" spans="2:14" ht="16.5" thickBot="1" x14ac:dyDescent="0.3">
      <c r="B33" s="175" t="s">
        <v>238</v>
      </c>
      <c r="C33" s="179">
        <v>8.1</v>
      </c>
      <c r="D33" s="180" t="s">
        <v>245</v>
      </c>
      <c r="H33" s="199" t="s">
        <v>206</v>
      </c>
      <c r="I33" s="200">
        <f>I32-I31</f>
        <v>19.125</v>
      </c>
      <c r="J33" s="201" t="s">
        <v>207</v>
      </c>
      <c r="L33" s="214" t="s">
        <v>255</v>
      </c>
      <c r="M33" s="215">
        <f>M31-M27</f>
        <v>27463.323156480001</v>
      </c>
      <c r="N33" s="216" t="s">
        <v>253</v>
      </c>
    </row>
    <row r="34" spans="2:14" ht="16.5" thickBot="1" x14ac:dyDescent="0.3">
      <c r="B34" s="175" t="s">
        <v>239</v>
      </c>
      <c r="C34" s="179">
        <v>9.8000000000000007</v>
      </c>
      <c r="D34" s="180" t="s">
        <v>246</v>
      </c>
      <c r="E34" s="71" t="s">
        <v>248</v>
      </c>
      <c r="I34" s="65"/>
      <c r="L34" s="61"/>
      <c r="N34" s="62"/>
    </row>
    <row r="35" spans="2:14" x14ac:dyDescent="0.25">
      <c r="B35" s="175" t="s">
        <v>243</v>
      </c>
      <c r="C35" s="179">
        <v>10.1</v>
      </c>
      <c r="D35" s="180" t="s">
        <v>247</v>
      </c>
      <c r="H35" s="202" t="s">
        <v>201</v>
      </c>
      <c r="I35" s="168">
        <v>9.8000000000000007</v>
      </c>
      <c r="J35" s="203" t="s">
        <v>230</v>
      </c>
      <c r="L35" s="217" t="s">
        <v>257</v>
      </c>
      <c r="M35" s="218"/>
      <c r="N35" s="219"/>
    </row>
    <row r="36" spans="2:14" ht="16.5" thickBot="1" x14ac:dyDescent="0.3">
      <c r="B36" s="175" t="s">
        <v>240</v>
      </c>
      <c r="C36" s="179">
        <v>4</v>
      </c>
      <c r="D36" s="180" t="s">
        <v>245</v>
      </c>
      <c r="H36" s="170" t="s">
        <v>263</v>
      </c>
      <c r="I36" s="169">
        <v>1</v>
      </c>
      <c r="J36" s="201" t="s">
        <v>203</v>
      </c>
      <c r="L36" s="214" t="s">
        <v>250</v>
      </c>
      <c r="M36" s="220">
        <f>M33/I35</f>
        <v>2802.3799139265307</v>
      </c>
      <c r="N36" s="221" t="s">
        <v>229</v>
      </c>
    </row>
    <row r="37" spans="2:14" ht="16.5" thickBot="1" x14ac:dyDescent="0.3">
      <c r="B37" s="181" t="s">
        <v>241</v>
      </c>
      <c r="C37" s="182">
        <v>4.8</v>
      </c>
      <c r="D37" s="183" t="s">
        <v>245</v>
      </c>
      <c r="L37" s="222" t="s">
        <v>251</v>
      </c>
      <c r="M37" s="223">
        <f>M36*I36</f>
        <v>2802.3799139265307</v>
      </c>
      <c r="N37" s="224" t="s">
        <v>203</v>
      </c>
    </row>
  </sheetData>
  <mergeCells count="13">
    <mergeCell ref="J9:K9"/>
    <mergeCell ref="B2:G4"/>
    <mergeCell ref="C9:H9"/>
    <mergeCell ref="H3:H4"/>
    <mergeCell ref="C5:H5"/>
    <mergeCell ref="C6:H6"/>
    <mergeCell ref="C7:H7"/>
    <mergeCell ref="C8:H8"/>
    <mergeCell ref="I20:J20"/>
    <mergeCell ref="B15:D15"/>
    <mergeCell ref="B16:D16"/>
    <mergeCell ref="F15:G15"/>
    <mergeCell ref="F16:G1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Ang. Absauganlage</vt:lpstr>
      <vt:lpstr>Geschw.</vt:lpstr>
      <vt:lpstr>Luftmenge</vt:lpstr>
      <vt:lpstr>Berechnen</vt:lpstr>
      <vt:lpstr>Druckverlust</vt:lpstr>
      <vt:lpstr>Wärmeverlust</vt:lpstr>
      <vt:lpstr>'Ang. Absauganlage'!Druckbereich</vt:lpstr>
      <vt:lpstr>Luftmenge!Druckbereich</vt:lpstr>
    </vt:vector>
  </TitlesOfParts>
  <Company>AL-KO Kober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Schalast Matthias</dc:creator>
  <cp:lastModifiedBy>Hamann</cp:lastModifiedBy>
  <cp:lastPrinted>2017-03-29T07:25:00Z</cp:lastPrinted>
  <dcterms:created xsi:type="dcterms:W3CDTF">2016-02-29T12:31:10Z</dcterms:created>
  <dcterms:modified xsi:type="dcterms:W3CDTF">2024-03-10T18:04:24Z</dcterms:modified>
</cp:coreProperties>
</file>